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35" windowHeight="5220" tabRatio="599" activeTab="4"/>
  </bookViews>
  <sheets>
    <sheet name="Introduction" sheetId="1" r:id="rId1"/>
    <sheet name="Présentation" sheetId="2" r:id="rId2"/>
    <sheet name="Enoncé" sheetId="3" r:id="rId3"/>
    <sheet name="Bal. av. invent." sheetId="4" r:id="rId4"/>
    <sheet name="Amort." sheetId="5" r:id="rId5"/>
    <sheet name="Comptab." sheetId="6" r:id="rId6"/>
    <sheet name="Bal. après invent" sheetId="7" r:id="rId7"/>
    <sheet name="Cpte Résultat PCG (de base)" sheetId="8" r:id="rId8"/>
    <sheet name="Bilan PCG (de base)" sheetId="9" r:id="rId9"/>
    <sheet name="Annexe (Immos)" sheetId="10" r:id="rId10"/>
    <sheet name="Annexe (Amort.)" sheetId="11" r:id="rId11"/>
    <sheet name="Annexe (Dépréc-Prov)" sheetId="12" r:id="rId12"/>
  </sheets>
  <definedNames/>
  <calcPr fullCalcOnLoad="1"/>
</workbook>
</file>

<file path=xl/sharedStrings.xml><?xml version="1.0" encoding="utf-8"?>
<sst xmlns="http://schemas.openxmlformats.org/spreadsheetml/2006/main" count="1032" uniqueCount="685">
  <si>
    <t xml:space="preserve">obligation, mais afin de permettre aux élèves de travailler sur l'amortissement dégressif, qui est </t>
  </si>
  <si>
    <t xml:space="preserve">avoir à utiliser l'amortissement dérogatoire (comme c'est normalement le cas) pour enregistrer la </t>
  </si>
  <si>
    <t>économique (comptable).</t>
  </si>
  <si>
    <t xml:space="preserve">qu'elles devraient être appliquées, une version complète avec utilisation de l'amortissement </t>
  </si>
  <si>
    <t>INTRODUCTION PEDAGOGIQUE</t>
  </si>
  <si>
    <t xml:space="preserve">(linéaire), on émettra l'hypothèse que (exceptionnellement) l'amortissement dégressif correspond, </t>
  </si>
  <si>
    <t xml:space="preserve">dans les 2 cas proposés, à la consommation réelle des biens, et donc à l'amortissement </t>
  </si>
  <si>
    <t>données à utiliser :</t>
  </si>
  <si>
    <t>1- Présentation</t>
  </si>
  <si>
    <t>2- Enoncé</t>
  </si>
  <si>
    <t>3- Balance avant inventaire</t>
  </si>
  <si>
    <t>4- Amortissements</t>
  </si>
  <si>
    <t>Tableau d'amortissement de l'emprunt 2 :</t>
  </si>
  <si>
    <t>5- Comptabilisation</t>
  </si>
  <si>
    <t>6- Bilan</t>
  </si>
  <si>
    <t>7- Compte de résultat</t>
  </si>
  <si>
    <t>8- Annexe (Immobilisations)</t>
  </si>
  <si>
    <t>9- Annexe (Amortissements)</t>
  </si>
  <si>
    <t>10- Annexe (Dépréciations - Provisions)</t>
  </si>
  <si>
    <t>Les 7 autres feuilles sont des documents à compléter par les élèves :</t>
  </si>
  <si>
    <t>la balance après inventaire.</t>
  </si>
  <si>
    <t xml:space="preserve"> - établissement des tableaux d'amortissement des 2 nouveaux matériels</t>
  </si>
  <si>
    <t xml:space="preserve"> - révision du plan d'amortissement d'un bien suite à sa dépréciation </t>
  </si>
  <si>
    <t xml:space="preserve"> - enregistrement comptables des dotations aux amortissements, provisions, </t>
  </si>
  <si>
    <t>Intitulés</t>
  </si>
  <si>
    <t>SOLDES</t>
  </si>
  <si>
    <t>Débiteurs</t>
  </si>
  <si>
    <t>Créditeurs</t>
  </si>
  <si>
    <t>Capital</t>
  </si>
  <si>
    <t>Emprunt</t>
  </si>
  <si>
    <t>Fournisseurs</t>
  </si>
  <si>
    <t>Fournisseurs - Effets à payer</t>
  </si>
  <si>
    <t>Personnel, rémunérations dues</t>
  </si>
  <si>
    <t>Organismes sociaux</t>
  </si>
  <si>
    <t>TVA collectée</t>
  </si>
  <si>
    <t>TVA déductible sur ABS</t>
  </si>
  <si>
    <t>Caisse</t>
  </si>
  <si>
    <t>Achat denrées alimentaires</t>
  </si>
  <si>
    <t>RRR obtenus sur achat denrées alimentaires</t>
  </si>
  <si>
    <t>Redevances de Crédit-Bail</t>
  </si>
  <si>
    <t>Entretien et Réparations</t>
  </si>
  <si>
    <t>Primes d'assurances</t>
  </si>
  <si>
    <t>Frais postaux et télécommunications</t>
  </si>
  <si>
    <t xml:space="preserve">Services bancaires </t>
  </si>
  <si>
    <t>Rémunérations du personnel</t>
  </si>
  <si>
    <t>Charges de SS et prévoyance</t>
  </si>
  <si>
    <t>Charges d'intérêts</t>
  </si>
  <si>
    <t>Produits divers de gestion courante</t>
  </si>
  <si>
    <t>Escomptes obtenus</t>
  </si>
  <si>
    <t>TOTAUX</t>
  </si>
  <si>
    <t>Exercice N-1</t>
  </si>
  <si>
    <t>Exercice N</t>
  </si>
  <si>
    <t>Net</t>
  </si>
  <si>
    <t>Capital souscrit-non appelé</t>
  </si>
  <si>
    <t xml:space="preserve">     Frais d'établissement</t>
  </si>
  <si>
    <t xml:space="preserve">Primes d'émission, de fusion, d'apport,...  </t>
  </si>
  <si>
    <t xml:space="preserve">     Concessions, brevets, licences, logiciels,... </t>
  </si>
  <si>
    <t xml:space="preserve">     Fonds commercial (1)</t>
  </si>
  <si>
    <t xml:space="preserve">     Avances et acomptes</t>
  </si>
  <si>
    <t xml:space="preserve">     Terrains</t>
  </si>
  <si>
    <t xml:space="preserve">     Constructions</t>
  </si>
  <si>
    <t xml:space="preserve">     Instal. techniques, mat.&amp; outillage industriels</t>
  </si>
  <si>
    <t>Subventions d'investissement</t>
  </si>
  <si>
    <t>Provisions réglementées</t>
  </si>
  <si>
    <t>Total I</t>
  </si>
  <si>
    <t xml:space="preserve">     Créances rattachées à des participations</t>
  </si>
  <si>
    <t xml:space="preserve">     Autres titres immobilisés</t>
  </si>
  <si>
    <t>Provisions pour charges</t>
  </si>
  <si>
    <t xml:space="preserve">     Prêts</t>
  </si>
  <si>
    <t>Total II</t>
  </si>
  <si>
    <t xml:space="preserve">     Matières premières et autres approv.</t>
  </si>
  <si>
    <t xml:space="preserve">     Produits intermédiaires et finis</t>
  </si>
  <si>
    <t xml:space="preserve">     Marchandises</t>
  </si>
  <si>
    <t>Avances et acomptes versés sur commandes</t>
  </si>
  <si>
    <t>Disponibilités</t>
  </si>
  <si>
    <t>Charges constatées d’avance (3)</t>
  </si>
  <si>
    <t>Total III</t>
  </si>
  <si>
    <t>TOTAL GENERAL (I+II+III+IV+V)</t>
  </si>
  <si>
    <t>TOTAL GENERAL (I + II + III + IV)</t>
  </si>
  <si>
    <t>(1) Dont droit au bail</t>
  </si>
  <si>
    <t>Résultat de l'exercice [bénéfice ou perte]</t>
  </si>
  <si>
    <t xml:space="preserve">Report à nouveau </t>
  </si>
  <si>
    <t>Provisions pour risques</t>
  </si>
  <si>
    <t>CAPITAUX PROPRES</t>
  </si>
  <si>
    <t>Valeurs mobilières de placement</t>
  </si>
  <si>
    <t>Réserve légale</t>
  </si>
  <si>
    <t>Report à nouveau</t>
  </si>
  <si>
    <t>Provisions pour litiges</t>
  </si>
  <si>
    <t>Prêts</t>
  </si>
  <si>
    <t>Locations</t>
  </si>
  <si>
    <t>Documentation</t>
  </si>
  <si>
    <t>Publicité - Publication</t>
  </si>
  <si>
    <t>Impôts - Taxes et versements assimilés</t>
  </si>
  <si>
    <t>Impôts - Taxes et versements assimilés sur rémunérations</t>
  </si>
  <si>
    <t>Impôt sur les bénéfices</t>
  </si>
  <si>
    <t>Charges locatives</t>
  </si>
  <si>
    <t>Produits des activités annexes</t>
  </si>
  <si>
    <t>Charges exceptionnelles sur opération de gestion</t>
  </si>
  <si>
    <t>Brut</t>
  </si>
  <si>
    <t xml:space="preserve"> BILAN  -  ACTIF</t>
  </si>
  <si>
    <t>BILAN  -  PASSIF(avant répartition)</t>
  </si>
  <si>
    <t xml:space="preserve">Désignation de l'entreprise : </t>
  </si>
  <si>
    <t xml:space="preserve">Exercice N </t>
  </si>
  <si>
    <t>Amort. et dépréc..</t>
  </si>
  <si>
    <t>(à déduire)</t>
  </si>
  <si>
    <t>ACTIF IMMOBILISE (a)</t>
  </si>
  <si>
    <t>Immobilisations incorporelles :</t>
  </si>
  <si>
    <t>Capital [dont versé...] (a)</t>
  </si>
  <si>
    <t xml:space="preserve">     Frais de développement</t>
  </si>
  <si>
    <t xml:space="preserve">Ecarts de réévaluation </t>
  </si>
  <si>
    <t>Ecart d’équivalence</t>
  </si>
  <si>
    <t>Réserves :</t>
  </si>
  <si>
    <t xml:space="preserve">     Autres</t>
  </si>
  <si>
    <t xml:space="preserve">     Réserve légale</t>
  </si>
  <si>
    <t xml:space="preserve">     Immobilisations incorporelles en cours</t>
  </si>
  <si>
    <t xml:space="preserve">     Réserves statutaires ou contractuelles</t>
  </si>
  <si>
    <t xml:space="preserve">     Réserves réglementées</t>
  </si>
  <si>
    <t>Immobilisations corporelles :</t>
  </si>
  <si>
    <t xml:space="preserve">     Immobilisations corporelles en cours</t>
  </si>
  <si>
    <t>Immobilisations financières (2) :</t>
  </si>
  <si>
    <t xml:space="preserve">     Participations (b)</t>
  </si>
  <si>
    <t xml:space="preserve">PROVISIONS </t>
  </si>
  <si>
    <t xml:space="preserve">     Titres immobilisés de l’activité de portefeuille</t>
  </si>
  <si>
    <t>ACTIF CIRCULANT</t>
  </si>
  <si>
    <t>DETTES (1) (g)</t>
  </si>
  <si>
    <t>Stocks et en-cours (a) :</t>
  </si>
  <si>
    <t xml:space="preserve">     Emprunts obligataires convertibles</t>
  </si>
  <si>
    <t xml:space="preserve">     En-cours de production [biens et services] (c)</t>
  </si>
  <si>
    <t xml:space="preserve">     Autres emprunts obligataires</t>
  </si>
  <si>
    <t xml:space="preserve">     Emprunts et dettes auprès des établissements de crédit (2)</t>
  </si>
  <si>
    <t xml:space="preserve">     Emprunts et dettes financières diverses (3)</t>
  </si>
  <si>
    <t xml:space="preserve">     Avances et acomptes reçus sur commandes en cours</t>
  </si>
  <si>
    <t>Créances d’exploitation (3) :</t>
  </si>
  <si>
    <t xml:space="preserve">     Créances Clients et Comptes rattachés (a) (d)</t>
  </si>
  <si>
    <t xml:space="preserve">     Dettes Fournisseurs et Comptes rattachés (f)</t>
  </si>
  <si>
    <t xml:space="preserve">     Dettes fiscales et sociales</t>
  </si>
  <si>
    <t>Capital souscrit - appelé, non versé</t>
  </si>
  <si>
    <t xml:space="preserve">     Dettes sur immobilisations et Comptes rattachés</t>
  </si>
  <si>
    <t>Valeurs mobilières de placement (e) :</t>
  </si>
  <si>
    <t xml:space="preserve">     Autres dettes</t>
  </si>
  <si>
    <t xml:space="preserve">     Actions propres</t>
  </si>
  <si>
    <t xml:space="preserve">     Autres titres</t>
  </si>
  <si>
    <t xml:space="preserve">     Instruments de trésorerie</t>
  </si>
  <si>
    <t>Instruments de trésorerie</t>
  </si>
  <si>
    <t xml:space="preserve">     Produits constatés d’avance (1)</t>
  </si>
  <si>
    <r>
      <t>Charges à répartir sur plusieurs exercices (</t>
    </r>
    <r>
      <rPr>
        <b/>
        <sz val="10"/>
        <rFont val="Arial"/>
        <family val="2"/>
      </rPr>
      <t>III</t>
    </r>
    <r>
      <rPr>
        <sz val="10"/>
        <rFont val="Arial"/>
        <family val="0"/>
      </rPr>
      <t>)</t>
    </r>
  </si>
  <si>
    <r>
      <t>Primes de remboursement des emprunts (</t>
    </r>
    <r>
      <rPr>
        <b/>
        <sz val="10"/>
        <rFont val="Arial"/>
        <family val="2"/>
      </rPr>
      <t>IV</t>
    </r>
    <r>
      <rPr>
        <sz val="10"/>
        <rFont val="Arial"/>
        <family val="0"/>
      </rPr>
      <t>).</t>
    </r>
  </si>
  <si>
    <r>
      <t>Ecarts de conversion Actif (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).</t>
    </r>
  </si>
  <si>
    <r>
      <t>Ecarts de conversion Passif (</t>
    </r>
    <r>
      <rPr>
        <b/>
        <sz val="10"/>
        <rFont val="Arial"/>
        <family val="2"/>
      </rPr>
      <t>IV</t>
    </r>
    <r>
      <rPr>
        <sz val="10"/>
        <rFont val="Arial"/>
        <family val="0"/>
      </rPr>
      <t>)</t>
    </r>
  </si>
  <si>
    <t>(a) y compris capital souscrit non-appelé</t>
  </si>
  <si>
    <t>(1) Dont à plus d’un an</t>
  </si>
  <si>
    <t>(2) Dont à moins d’un an (brut)</t>
  </si>
  <si>
    <t xml:space="preserve">      Dont à moins d’un an</t>
  </si>
  <si>
    <t xml:space="preserve">(3) Dont à moins d’un an (brut) </t>
  </si>
  <si>
    <t>(2) Dont concours banc. courants et soldes créd. de banques</t>
  </si>
  <si>
    <t>(3) Dont emprunts participatifs</t>
  </si>
  <si>
    <r>
      <t xml:space="preserve">COMPTE DE RESULTAT (en tableau) </t>
    </r>
    <r>
      <rPr>
        <b/>
        <i/>
        <sz val="14"/>
        <rFont val="Arial"/>
        <family val="2"/>
      </rPr>
      <t>[système de base]</t>
    </r>
  </si>
  <si>
    <t>CHARGES (hors taxes)</t>
  </si>
  <si>
    <t>Ex. N</t>
  </si>
  <si>
    <t>Ex N-1</t>
  </si>
  <si>
    <t>PRODUITS (hors taxes)</t>
  </si>
  <si>
    <t>Charges d'exploitation :</t>
  </si>
  <si>
    <t>.</t>
  </si>
  <si>
    <t>Produits d'exploitation :</t>
  </si>
  <si>
    <t xml:space="preserve">     Achat de marchandises (a)</t>
  </si>
  <si>
    <t xml:space="preserve">     Vente de marchandises</t>
  </si>
  <si>
    <t xml:space="preserve">          Variation des stocks (b)</t>
  </si>
  <si>
    <t xml:space="preserve">     Production vendue</t>
  </si>
  <si>
    <t xml:space="preserve">     Achat de matières premières et autres appro. (a)</t>
  </si>
  <si>
    <t xml:space="preserve">       Sous-total A = chiffre d'affaires</t>
  </si>
  <si>
    <t xml:space="preserve">             dont à l'exportation</t>
  </si>
  <si>
    <t xml:space="preserve">     Autres achats et charges externes</t>
  </si>
  <si>
    <t xml:space="preserve">     Production stockée</t>
  </si>
  <si>
    <t xml:space="preserve">     Impôts et taxes</t>
  </si>
  <si>
    <t xml:space="preserve">     Production immobilisée</t>
  </si>
  <si>
    <t xml:space="preserve">     Salaires et traitements</t>
  </si>
  <si>
    <t xml:space="preserve">     Subventions d'exploitation</t>
  </si>
  <si>
    <t xml:space="preserve">     Charges sociales</t>
  </si>
  <si>
    <t xml:space="preserve">     Reprise sur dépréc., prov. et amortissements, tsferts de charges</t>
  </si>
  <si>
    <t xml:space="preserve">     Dotations aux amortissements</t>
  </si>
  <si>
    <t xml:space="preserve">     Autres produits</t>
  </si>
  <si>
    <t xml:space="preserve">        sur immobilisations : dotations aux amortissements (c)</t>
  </si>
  <si>
    <t xml:space="preserve">       Sous-total B</t>
  </si>
  <si>
    <t xml:space="preserve">        sur immobilisations : dotations aux dépréciations</t>
  </si>
  <si>
    <t>Total I  ( A + B) :</t>
  </si>
  <si>
    <t xml:space="preserve">        sur actif circulant : dotations aux dépréciations</t>
  </si>
  <si>
    <t xml:space="preserve">     Dotations aux provisions</t>
  </si>
  <si>
    <t>Quote-part s/opé. en commun (II)</t>
  </si>
  <si>
    <t xml:space="preserve">     Autres charges </t>
  </si>
  <si>
    <t>Produits financiers :</t>
  </si>
  <si>
    <t>Total I :</t>
  </si>
  <si>
    <t xml:space="preserve">     De participation</t>
  </si>
  <si>
    <t xml:space="preserve">     D'autres VMP</t>
  </si>
  <si>
    <t>Charges financières :</t>
  </si>
  <si>
    <t xml:space="preserve">     Autres intérêts et produits assimilés</t>
  </si>
  <si>
    <t xml:space="preserve">     Dotations aux amortissements, dépréc. &amp; provisions</t>
  </si>
  <si>
    <t xml:space="preserve">     Reprise sur dépréc. et provisions, transferts de charges</t>
  </si>
  <si>
    <t xml:space="preserve">     Intérêts et charges assimilées</t>
  </si>
  <si>
    <t xml:space="preserve">     Différences positives de change</t>
  </si>
  <si>
    <t xml:space="preserve">     Différences négatives de change</t>
  </si>
  <si>
    <t xml:space="preserve">     Produits nets s/ cessions de VMP</t>
  </si>
  <si>
    <t xml:space="preserve">     Charges nettes s/ cessions de VMP</t>
  </si>
  <si>
    <t>Total III :</t>
  </si>
  <si>
    <t>Charges exceptionnelles :</t>
  </si>
  <si>
    <t>Produits exceptionnels :</t>
  </si>
  <si>
    <t xml:space="preserve">     Sur opérations de gestion</t>
  </si>
  <si>
    <t xml:space="preserve">     Sur opérations en capital</t>
  </si>
  <si>
    <t xml:space="preserve">     Dotations aux amortissements, dépréc. et provisions</t>
  </si>
  <si>
    <t>Total IV :</t>
  </si>
  <si>
    <t>Participation des salariés (V)</t>
  </si>
  <si>
    <t xml:space="preserve">Total des produits </t>
  </si>
  <si>
    <t>Impôts sur les bénéfices (VI)</t>
  </si>
  <si>
    <t>( I + II + III + IV )</t>
  </si>
  <si>
    <t xml:space="preserve">Total des charges </t>
  </si>
  <si>
    <t>( I + II + III + IV + V + VI )</t>
  </si>
  <si>
    <r>
      <t>Solde débiteur =</t>
    </r>
    <r>
      <rPr>
        <b/>
        <sz val="10"/>
        <rFont val="Arial"/>
        <family val="2"/>
      </rPr>
      <t xml:space="preserve"> perte</t>
    </r>
  </si>
  <si>
    <r>
      <t>Solde créditeur =</t>
    </r>
    <r>
      <rPr>
        <b/>
        <sz val="10"/>
        <rFont val="Arial"/>
        <family val="2"/>
      </rPr>
      <t xml:space="preserve"> bénéfice</t>
    </r>
  </si>
  <si>
    <t>Total général</t>
  </si>
  <si>
    <t xml:space="preserve">     (a) droits de douane</t>
  </si>
  <si>
    <t xml:space="preserve">     (b) Stock initial moins stock final</t>
  </si>
  <si>
    <t xml:space="preserve">     (c) Y compris éventuellement dotations aux amortissements des charges à répartir</t>
  </si>
  <si>
    <t>IMMOBILISATIONS</t>
  </si>
  <si>
    <t>Valeur au début</t>
  </si>
  <si>
    <t>Augmentations</t>
  </si>
  <si>
    <t>Diminutions</t>
  </si>
  <si>
    <t>de l'exercice</t>
  </si>
  <si>
    <t xml:space="preserve">par virement de </t>
  </si>
  <si>
    <t>par cession</t>
  </si>
  <si>
    <t>poste à poste</t>
  </si>
  <si>
    <t>à des tiers</t>
  </si>
  <si>
    <t>Incorporelles</t>
  </si>
  <si>
    <t>TOTAL</t>
  </si>
  <si>
    <t>Autres postes d'immos incorporelles</t>
  </si>
  <si>
    <t>Terrains</t>
  </si>
  <si>
    <t>Constructions</t>
  </si>
  <si>
    <t>Sur sol propre</t>
  </si>
  <si>
    <t>Sur sol d'autrui</t>
  </si>
  <si>
    <t>Instal. géné. agenc. et aménagements</t>
  </si>
  <si>
    <t>Installations techniques, matériel et outillage industriels</t>
  </si>
  <si>
    <t>Corporelles</t>
  </si>
  <si>
    <t>Autres immobilisations corporelles</t>
  </si>
  <si>
    <t>Matériel de transport</t>
  </si>
  <si>
    <t>Matériel de bureau et informatique, mobilier</t>
  </si>
  <si>
    <t>Emballages récupérables et divers</t>
  </si>
  <si>
    <t>Immobilisations corporelles en cours</t>
  </si>
  <si>
    <t>Avances et acomptes</t>
  </si>
  <si>
    <t>Participations évaluées par équivalence</t>
  </si>
  <si>
    <t>Financières</t>
  </si>
  <si>
    <t>Autres participations</t>
  </si>
  <si>
    <t>Autres titres immobilisés</t>
  </si>
  <si>
    <t>Prêts et autres immobilisations financières</t>
  </si>
  <si>
    <t>TOTAL GENERAL</t>
  </si>
  <si>
    <t>TABLEAU DES AMORTISSEMENTS</t>
  </si>
  <si>
    <t>Amortissements</t>
  </si>
  <si>
    <t>dotations</t>
  </si>
  <si>
    <t>Dépréciations</t>
  </si>
  <si>
    <t>au début</t>
  </si>
  <si>
    <t>reprises</t>
  </si>
  <si>
    <t>à la fin</t>
  </si>
  <si>
    <t>Immobilisations incorporelles</t>
  </si>
  <si>
    <t>Immobilisations corporelles</t>
  </si>
  <si>
    <t>Immobilisations financières</t>
  </si>
  <si>
    <t>Titres de participations</t>
  </si>
  <si>
    <t>Autres immobilisations financières</t>
  </si>
  <si>
    <t>Stocks et en-cours</t>
  </si>
  <si>
    <t>Créances client</t>
  </si>
  <si>
    <t xml:space="preserve">TOTAL </t>
  </si>
  <si>
    <t>Provisions réglementées :</t>
  </si>
  <si>
    <t>Hausse des prix</t>
  </si>
  <si>
    <t>Amortissements dérogatoires</t>
  </si>
  <si>
    <t>Litige</t>
  </si>
  <si>
    <t>Garanties données aux clients</t>
  </si>
  <si>
    <t>Amendes et pénalités</t>
  </si>
  <si>
    <t>Grosses réparations</t>
  </si>
  <si>
    <t>Frais d'établis., de développement</t>
  </si>
  <si>
    <t>cumulés au début</t>
  </si>
  <si>
    <t xml:space="preserve">TABLEAU DES IMMOBILISATIONS  </t>
  </si>
  <si>
    <t>(PCG 532-1)</t>
  </si>
  <si>
    <t>d'amortissements</t>
  </si>
  <si>
    <t>Situations et mouvements</t>
  </si>
  <si>
    <t>A</t>
  </si>
  <si>
    <t>B</t>
  </si>
  <si>
    <t>C</t>
  </si>
  <si>
    <t>D</t>
  </si>
  <si>
    <t>Immobilisations</t>
  </si>
  <si>
    <t>I. Cadre général</t>
  </si>
  <si>
    <t>II. Aménagement du cadre général</t>
  </si>
  <si>
    <t xml:space="preserve">Dotations </t>
  </si>
  <si>
    <t>Compléments</t>
  </si>
  <si>
    <t>liés à une</t>
  </si>
  <si>
    <t>réévaluation</t>
  </si>
  <si>
    <t>Sur éléments</t>
  </si>
  <si>
    <t>amortis sur</t>
  </si>
  <si>
    <t>mode linéaire</t>
  </si>
  <si>
    <t>amortis selon</t>
  </si>
  <si>
    <t>autre mode</t>
  </si>
  <si>
    <t>exceptionnelles</t>
  </si>
  <si>
    <t>Ventilation des dotations</t>
  </si>
  <si>
    <t xml:space="preserve">1. Développement de la </t>
  </si>
  <si>
    <t>colonne B (augmentations)</t>
  </si>
  <si>
    <t xml:space="preserve">2. Développement de la </t>
  </si>
  <si>
    <t>colonne C (diminutions)</t>
  </si>
  <si>
    <t>Ventilation des diminutions</t>
  </si>
  <si>
    <t xml:space="preserve">     Sur sol propre</t>
  </si>
  <si>
    <t xml:space="preserve">     Sur sol d'autrui</t>
  </si>
  <si>
    <t xml:space="preserve">     Instal. géné. agenc. et aménagements</t>
  </si>
  <si>
    <t xml:space="preserve">     Matériel de transport</t>
  </si>
  <si>
    <t xml:space="preserve">     Matériel de bureau et informatique, mobilier</t>
  </si>
  <si>
    <t xml:space="preserve">     Emballages récupérables et divers</t>
  </si>
  <si>
    <t xml:space="preserve">     Instal. géné. agenc. et aménag.</t>
  </si>
  <si>
    <t xml:space="preserve">     Mat. de bureau et info., mobilier</t>
  </si>
  <si>
    <t xml:space="preserve">     Emballages récup. et divers</t>
  </si>
  <si>
    <t>Instal. Tech., mat. et outil. industriels</t>
  </si>
  <si>
    <t xml:space="preserve">Diminutions </t>
  </si>
  <si>
    <t>Eléments</t>
  </si>
  <si>
    <t>transférés à</t>
  </si>
  <si>
    <t>l'actif circulant</t>
  </si>
  <si>
    <t>cédés</t>
  </si>
  <si>
    <t>mis hors</t>
  </si>
  <si>
    <t>service</t>
  </si>
  <si>
    <t>(PCG 532-2.1)</t>
  </si>
  <si>
    <t>(PCG 532-2.2)</t>
  </si>
  <si>
    <t>TABLEAU DES DEPRECIATIONS AU 31/12/N</t>
  </si>
  <si>
    <t>(PCG 532-2.3)</t>
  </si>
  <si>
    <t>TABLEAU DES PROVISIONS AU 31/12/N</t>
  </si>
  <si>
    <t>Provisions pour risques  :</t>
  </si>
  <si>
    <t>Provisions pour charges :</t>
  </si>
  <si>
    <t>Exploitation</t>
  </si>
  <si>
    <t>Financier</t>
  </si>
  <si>
    <t>Exceptionnel</t>
  </si>
  <si>
    <t>Reprises</t>
  </si>
  <si>
    <t>Ventilation des reprises</t>
  </si>
  <si>
    <t>Gros entretiens ou grosses réparations</t>
  </si>
  <si>
    <t>Dépréciation du matériel de conservation</t>
  </si>
  <si>
    <t>Logiciel de comptabilité et bureautique</t>
  </si>
  <si>
    <t>Logiciel de paye</t>
  </si>
  <si>
    <t>Bâtiment structure</t>
  </si>
  <si>
    <t>Bâtiment monte charge</t>
  </si>
  <si>
    <t>Chambre froide</t>
  </si>
  <si>
    <t>Matériel de conservation</t>
  </si>
  <si>
    <t>Matériel de cuisson</t>
  </si>
  <si>
    <r>
      <t xml:space="preserve">BALANCE </t>
    </r>
    <r>
      <rPr>
        <b/>
        <sz val="10"/>
        <rFont val="Arial"/>
        <family val="2"/>
      </rPr>
      <t>AVANT INVENTAIRE</t>
    </r>
    <r>
      <rPr>
        <sz val="10"/>
        <rFont val="Arial"/>
        <family val="0"/>
      </rPr>
      <t xml:space="preserve"> AU 31/12/2007</t>
    </r>
  </si>
  <si>
    <t>Véhicule isotherme</t>
  </si>
  <si>
    <t>206 de société</t>
  </si>
  <si>
    <t>Micro-ordinateur</t>
  </si>
  <si>
    <t>Imprimante laser</t>
  </si>
  <si>
    <t>Matériel de cuisine</t>
  </si>
  <si>
    <t>Stocks de denrées alimentaires</t>
  </si>
  <si>
    <t>Clients</t>
  </si>
  <si>
    <t>Banques</t>
  </si>
  <si>
    <t>Ventes de produits finis</t>
  </si>
  <si>
    <t>Escomptes accordés</t>
  </si>
  <si>
    <t>Stocks de fournitures consommables</t>
  </si>
  <si>
    <t>Achat fournitures consommables stockées</t>
  </si>
  <si>
    <t>Autres réserves</t>
  </si>
  <si>
    <t>RRR accordés sur ventes de produits finis</t>
  </si>
  <si>
    <t>Provisions réglementées - Amortissements dérogatoires</t>
  </si>
  <si>
    <t>Informations complémentaires pour l'inventaire 2007 :</t>
  </si>
  <si>
    <t>Stocks de produits finis</t>
  </si>
  <si>
    <t>Dépréciation du stocks de denrées alimentaires</t>
  </si>
  <si>
    <t>Numéros de</t>
  </si>
  <si>
    <t>comptes</t>
  </si>
  <si>
    <t>des comptes</t>
  </si>
  <si>
    <t xml:space="preserve"> L'exercice comptable est clos chaque année le 31 décembre.</t>
  </si>
  <si>
    <t>Fiche de suivi des immobilisations :</t>
  </si>
  <si>
    <t xml:space="preserve">N° cpte </t>
  </si>
  <si>
    <t>Base amort.</t>
  </si>
  <si>
    <t xml:space="preserve">Date </t>
  </si>
  <si>
    <t>Date de</t>
  </si>
  <si>
    <t>Amort. comptable</t>
  </si>
  <si>
    <t>Amort. Fiscal</t>
  </si>
  <si>
    <t>Dotations d'amortissements au 31/12</t>
  </si>
  <si>
    <t>Cumul au</t>
  </si>
  <si>
    <t>d'acquisition</t>
  </si>
  <si>
    <t>mise en service</t>
  </si>
  <si>
    <t>Durée</t>
  </si>
  <si>
    <t>Mode</t>
  </si>
  <si>
    <t>Bâtiment (structure)</t>
  </si>
  <si>
    <t>1er janvier 2002</t>
  </si>
  <si>
    <t>Linéaire</t>
  </si>
  <si>
    <t>Bâtiment (monte-charge)</t>
  </si>
  <si>
    <t>Dégressif</t>
  </si>
  <si>
    <t>Mat. de tsport (véhic. isotherme)</t>
  </si>
  <si>
    <t>Variable</t>
  </si>
  <si>
    <t>Logiciels de comptabilité et bureautique</t>
  </si>
  <si>
    <t>Except.</t>
  </si>
  <si>
    <r>
      <t>Le</t>
    </r>
    <r>
      <rPr>
        <b/>
        <sz val="10"/>
        <rFont val="Arial"/>
        <family val="2"/>
      </rPr>
      <t xml:space="preserve"> matériel de transport</t>
    </r>
    <r>
      <rPr>
        <sz val="10"/>
        <rFont val="Arial"/>
        <family val="0"/>
      </rPr>
      <t xml:space="preserve"> est amorti comptablement selon la consommation des avantages économiques (amortissement "variable"), conformément au PCG. L'unité d'œuvre retenue pour son utilisation est le km parcouru. </t>
    </r>
  </si>
  <si>
    <r>
      <t xml:space="preserve">    Le  </t>
    </r>
    <r>
      <rPr>
        <b/>
        <sz val="10"/>
        <rFont val="Arial"/>
        <family val="2"/>
      </rPr>
      <t>bâtiment</t>
    </r>
    <r>
      <rPr>
        <sz val="10"/>
        <rFont val="Arial"/>
        <family val="0"/>
      </rPr>
      <t xml:space="preserve">, d'un coût global d'acquisition de  </t>
    </r>
  </si>
  <si>
    <r>
      <t xml:space="preserve">et donc séparé comptablement du bâtiment. La solution choisie pour cela au 1/1/2005 a été la </t>
    </r>
    <r>
      <rPr>
        <b/>
        <i/>
        <sz val="10"/>
        <rFont val="Arial"/>
        <family val="2"/>
      </rPr>
      <t>réallocation des valeurs comptables</t>
    </r>
    <r>
      <rPr>
        <sz val="10"/>
        <rFont val="Arial"/>
        <family val="0"/>
      </rPr>
      <t xml:space="preserve">, méthode la plus simple et qui évitait de constater en capitaux propres une différence sur  </t>
    </r>
  </si>
  <si>
    <t>amortissements antérieurs :</t>
  </si>
  <si>
    <t>Ventilation :</t>
  </si>
  <si>
    <t>en 21301  bâtiment industriel :</t>
  </si>
  <si>
    <t>x</t>
  </si>
  <si>
    <t>=</t>
  </si>
  <si>
    <t>en 213052 monte-charge :</t>
  </si>
  <si>
    <t>en 281301  amortissement bâtiment industriel :</t>
  </si>
  <si>
    <t>en 281352 amortissement monte-charge :</t>
  </si>
  <si>
    <t>Comptabilisation :</t>
  </si>
  <si>
    <t>Monte-charge</t>
  </si>
  <si>
    <t>Bâtiment</t>
  </si>
  <si>
    <t>Ventilation du bâtiment par composants</t>
  </si>
  <si>
    <t>Amortissement du bâtiment</t>
  </si>
  <si>
    <t>Amortissement du bâtiment (structure)</t>
  </si>
  <si>
    <t>Amortissement du monte-charges</t>
  </si>
  <si>
    <t>Réallocation des amortissements</t>
  </si>
  <si>
    <t>Factures d'achat d'immobilisations en 2007 :</t>
  </si>
  <si>
    <t>PEUGEOT</t>
  </si>
  <si>
    <t>CUIS-FABRIQ</t>
  </si>
  <si>
    <t>POISSY</t>
  </si>
  <si>
    <t>PARIS</t>
  </si>
  <si>
    <t>Facture n° 11/6258</t>
  </si>
  <si>
    <t>Ets CUISI-BIEN</t>
  </si>
  <si>
    <t>Facture n° 852</t>
  </si>
  <si>
    <t>Le 8 mars 2007</t>
  </si>
  <si>
    <t>Le 12 juillet 2007</t>
  </si>
  <si>
    <t>Préparation</t>
  </si>
  <si>
    <t>Remise 10 %</t>
  </si>
  <si>
    <t>TVA 19,6%</t>
  </si>
  <si>
    <t>Transport</t>
  </si>
  <si>
    <t>Carte grise</t>
  </si>
  <si>
    <t>Essence</t>
  </si>
  <si>
    <t xml:space="preserve"> NET  A  PAYER   T.T.C. (en €)</t>
  </si>
  <si>
    <t>Livrée le 13/3/2007, et mise en service ce jour</t>
  </si>
  <si>
    <t>Mis en service le 1/08/2007</t>
  </si>
  <si>
    <t xml:space="preserve">Ces immobilisations seront amorties de la façon suivante : </t>
  </si>
  <si>
    <t>pour la Peugeot 206, amortissement comptable linéaire durée d'utilisation 8 ans, et amortissement fiscal linéaire durée d'usage 5 ans</t>
  </si>
  <si>
    <t>pour le matériel de cuisine, amortissement comptable linéaire durée d'utilisation 6 ans, amortissement fiscal dégressif durée d'usage 6 ans</t>
  </si>
  <si>
    <r>
      <t xml:space="preserve">Par ailleurs, au 31/12/2006 il apparait un indice de </t>
    </r>
    <r>
      <rPr>
        <b/>
        <sz val="10"/>
        <rFont val="Arial"/>
        <family val="2"/>
      </rPr>
      <t xml:space="preserve">perte probable sur le matériel de conservation. </t>
    </r>
    <r>
      <rPr>
        <sz val="10"/>
        <rFont val="Arial"/>
        <family val="0"/>
      </rPr>
      <t xml:space="preserve">En effet sa </t>
    </r>
    <r>
      <rPr>
        <b/>
        <sz val="10"/>
        <rFont val="Arial"/>
        <family val="2"/>
      </rPr>
      <t>valeur vénale au 31/12/2006 n'est plus que de 3 900 €, alors que sa valeur d'usage est de 3 500 €.</t>
    </r>
  </si>
  <si>
    <t>TRAVAIL A FAIRE :</t>
  </si>
  <si>
    <t>considérée comme douteuse, le risque de non-paiement est évalué à 60 % de la créance.</t>
  </si>
  <si>
    <t>ENREGISTREMENTS COMPTABLES</t>
  </si>
  <si>
    <t>Comptes</t>
  </si>
  <si>
    <t>Intitulé</t>
  </si>
  <si>
    <t>Montants</t>
  </si>
  <si>
    <t>Débit</t>
  </si>
  <si>
    <t>Crédit</t>
  </si>
  <si>
    <t>Le 31/12/2006</t>
  </si>
  <si>
    <t>Dotation pour dépréciation des immobilisations corporelles</t>
  </si>
  <si>
    <t xml:space="preserve">Constatation de la dépréciation : </t>
  </si>
  <si>
    <t>VNC = 8 400 - 3 360 = 5 040</t>
  </si>
  <si>
    <t>Valeur vénale = 3 900 €      Valeur d'usage = 3 500 €</t>
  </si>
  <si>
    <t>Dépréciation = 5 040 - 3 900  =  1 140</t>
  </si>
  <si>
    <t>Matériel de transport (véhicule sté)</t>
  </si>
  <si>
    <t>TVA déductible sur immos</t>
  </si>
  <si>
    <t>Droits d'enregistrement et de timbre</t>
  </si>
  <si>
    <t>Achats de fournitures non-stockables</t>
  </si>
  <si>
    <t>Fournisseur d'immobilisation</t>
  </si>
  <si>
    <t>Acquisition à Peugeot d'une 205 de société - fact. 11/6258</t>
  </si>
  <si>
    <t>Acquisition à Cuis-Fabriq d'un matériel de cuisine - fact. 852</t>
  </si>
  <si>
    <t>Le 17 juillet 2007</t>
  </si>
  <si>
    <t>Créances sur cession d'immobilisations</t>
  </si>
  <si>
    <t>Produit de cession d'éléments d'actif</t>
  </si>
  <si>
    <t>Cession du matériel de cuisson</t>
  </si>
  <si>
    <t>Le 31 décembre 2007</t>
  </si>
  <si>
    <t>Dotation aux amortissements p/ dép.des immos incorpos</t>
  </si>
  <si>
    <t>Dotation aux amortissements p/ dép.des immos corpos</t>
  </si>
  <si>
    <t>Amortissement logiciel cpta et bur.</t>
  </si>
  <si>
    <t>Amortissement logiciel de paye</t>
  </si>
  <si>
    <t>Amortissement bâtiment industriel</t>
  </si>
  <si>
    <t>Amortissement monte-charge</t>
  </si>
  <si>
    <t>Amortissement chambre froide</t>
  </si>
  <si>
    <t>Amortissement matériel de conservation</t>
  </si>
  <si>
    <t>Amortissement matériel de cuisson</t>
  </si>
  <si>
    <t>Amortissement matériel de cuisine</t>
  </si>
  <si>
    <t>Amortissement véhicule isotherme</t>
  </si>
  <si>
    <t>Amortissement 205 de sté</t>
  </si>
  <si>
    <t>Amortissement micro-ordinateur</t>
  </si>
  <si>
    <t>Amortissement imprimante</t>
  </si>
  <si>
    <t>Dotations aux amortissements de l'exercice</t>
  </si>
  <si>
    <t>Amortissement matériel de cuisson  (5 200,00 + 1 056)</t>
  </si>
  <si>
    <t>Valeur nette comptable des éléments d'actif cédés</t>
  </si>
  <si>
    <t>Dotation aux amortissements exceptionnels (prov. rég. amort. dérogat.)</t>
  </si>
  <si>
    <t xml:space="preserve">Amortissement dérogatoire </t>
  </si>
  <si>
    <t xml:space="preserve">Dotations amortissements dérog. 2007 </t>
  </si>
  <si>
    <t>Reprises sur amortissements dérogatoires</t>
  </si>
  <si>
    <t>Reprises amortissements dérog. 2007 (458,18 + (6608,70 - 5 200)</t>
  </si>
  <si>
    <r>
      <t xml:space="preserve">BALANCE </t>
    </r>
    <r>
      <rPr>
        <b/>
        <sz val="10"/>
        <rFont val="Arial"/>
        <family val="2"/>
      </rPr>
      <t>APRES INVENTAIRE</t>
    </r>
    <r>
      <rPr>
        <sz val="10"/>
        <rFont val="Arial"/>
        <family val="0"/>
      </rPr>
      <t xml:space="preserve"> AU 31/12/2007</t>
    </r>
  </si>
  <si>
    <t>Dotations aux amortissements des immobilisations</t>
  </si>
  <si>
    <t>Amortissement du logiciel de comptabilité et bureautique</t>
  </si>
  <si>
    <t>Amortissement du logiciel de paye</t>
  </si>
  <si>
    <t>Amortissement du bâtiment structure</t>
  </si>
  <si>
    <t>Amortissement du bâtiment monte charge</t>
  </si>
  <si>
    <t>Amortissement de la chambre froide</t>
  </si>
  <si>
    <t>Amortissement du matériel de conservation</t>
  </si>
  <si>
    <t>Amortissement du matériel de cuisson</t>
  </si>
  <si>
    <t>Amortissement du véhicule isotherme</t>
  </si>
  <si>
    <t>Amortissement du micro-ordinateur</t>
  </si>
  <si>
    <t>Amortissement de l'imprimante laser</t>
  </si>
  <si>
    <t>Amortissement de la 206 de société</t>
  </si>
  <si>
    <t>Amortissement du matériel de cuisine</t>
  </si>
  <si>
    <t>Dotations aux dépréciations des stocks</t>
  </si>
  <si>
    <t>Dotations aux dépréciations des créances</t>
  </si>
  <si>
    <t>Dépréciation du stock de produits finis</t>
  </si>
  <si>
    <t>Dépréciation des créances</t>
  </si>
  <si>
    <t>Produits exceptionnels sur opération de gestion</t>
  </si>
  <si>
    <t>Dotations aux provisions pour risques</t>
  </si>
  <si>
    <t xml:space="preserve">Variation des stocks de MP et fournitures </t>
  </si>
  <si>
    <t xml:space="preserve">Variation des stocks produits finis </t>
  </si>
  <si>
    <t>Annulation des stocks initiaux</t>
  </si>
  <si>
    <t>Reprises sur dépréciations du stock des denrées alimentaires</t>
  </si>
  <si>
    <t>Constatation des stocks finaux</t>
  </si>
  <si>
    <t>Dotations aux dépréciations de l'actif circulant</t>
  </si>
  <si>
    <t>Reprises sur dépréc. du stock des denrées alim.</t>
  </si>
  <si>
    <t>TABLEAUX D'AMORTISSEMENT</t>
  </si>
  <si>
    <t>Matériels acquis en 2007 :</t>
  </si>
  <si>
    <t>Matériel :</t>
  </si>
  <si>
    <t>Durée d'utilisation :</t>
  </si>
  <si>
    <t>ans</t>
  </si>
  <si>
    <t>Durée d'usage :</t>
  </si>
  <si>
    <t>Date d'achat :</t>
  </si>
  <si>
    <t>Taux linéaire comptable :</t>
  </si>
  <si>
    <t>Taux linéaire fiscal  :</t>
  </si>
  <si>
    <t>Date de mise en service :</t>
  </si>
  <si>
    <t>Valeur d'origine :</t>
  </si>
  <si>
    <t>Années</t>
  </si>
  <si>
    <t>Amort. éco. justifié (linéaire s/ 8 ans)</t>
  </si>
  <si>
    <t>Amort. fiscal (linéaire s/ 5 ans)</t>
  </si>
  <si>
    <t>Amort. dérogatoire</t>
  </si>
  <si>
    <t>Dotation</t>
  </si>
  <si>
    <t>Cumul</t>
  </si>
  <si>
    <t xml:space="preserve">V. N. C. </t>
  </si>
  <si>
    <t>Dotations</t>
  </si>
  <si>
    <t>Durée :</t>
  </si>
  <si>
    <t>Taux linéaire :</t>
  </si>
  <si>
    <t>Coefficient dégressif :</t>
  </si>
  <si>
    <t>Taux dégressif :</t>
  </si>
  <si>
    <t>Amort. éco. justifié (linéaire)</t>
  </si>
  <si>
    <t>Amort. dégressif (fiscalement autorisé)</t>
  </si>
  <si>
    <t>Matériel de conservation dévalué au 31/12/2006 :</t>
  </si>
  <si>
    <t>ANNEES</t>
  </si>
  <si>
    <t>BASES</t>
  </si>
  <si>
    <t>ANNUITES</t>
  </si>
  <si>
    <t>Cumul Amort.</t>
  </si>
  <si>
    <t>VNC</t>
  </si>
  <si>
    <t>8 400  x  10 %  =  840</t>
  </si>
  <si>
    <t>Dépréciation au 31/12/2006.    Nouvelle V. N. C. :  3 900   -     Durée restante 6 ans</t>
  </si>
  <si>
    <t xml:space="preserve">3 900  /  6  =   </t>
  </si>
  <si>
    <t>Amortissement de l'ensemble des biens pour l'exercice 2007 :</t>
  </si>
  <si>
    <t>Comptable</t>
  </si>
  <si>
    <t>Fiscal</t>
  </si>
  <si>
    <t>Dérogatoire</t>
  </si>
  <si>
    <t>Dot.</t>
  </si>
  <si>
    <t>Rep.</t>
  </si>
  <si>
    <t>Bâtiment structure (2813010) :</t>
  </si>
  <si>
    <t>(490 000-73 500)/17 =</t>
  </si>
  <si>
    <t>Monte-charge (2813052) :</t>
  </si>
  <si>
    <t>(70 000-10 500/7 =</t>
  </si>
  <si>
    <t>Chambre froide (2815110) :</t>
  </si>
  <si>
    <t>19 800 / 12 =</t>
  </si>
  <si>
    <t>(19 800 / 10) =</t>
  </si>
  <si>
    <t>Matériel de conservation (2815410) :</t>
  </si>
  <si>
    <t>3 900 / 6 =</t>
  </si>
  <si>
    <t>Matériel de cuisson (2815430) :</t>
  </si>
  <si>
    <t>9 600 x 20% x 198/360 =</t>
  </si>
  <si>
    <t>Matériel de cuisine (2815440) :</t>
  </si>
  <si>
    <t>21 000 / 6 x 150/360 =</t>
  </si>
  <si>
    <t>21 000 / 6 x 1,75 x 6/12 =</t>
  </si>
  <si>
    <t>Matériel de transport  (2818210) :</t>
  </si>
  <si>
    <t>12 000 x 25 000 / 200 000 =</t>
  </si>
  <si>
    <t>12 000 x 20% =</t>
  </si>
  <si>
    <t>Matériel de transport  (2818220) :</t>
  </si>
  <si>
    <t>9 000 x 12,5% x 288/360 =</t>
  </si>
  <si>
    <t>9 000 x 20% x 288/360 =</t>
  </si>
  <si>
    <t>Imprimante (2818352) :</t>
  </si>
  <si>
    <t>600 x 25%  =</t>
  </si>
  <si>
    <t>Micro-ordinateur (2818351) :</t>
  </si>
  <si>
    <t>1240 x 25% =</t>
  </si>
  <si>
    <t>(1 240 - 891,25) x 100%</t>
  </si>
  <si>
    <t>Logiciels de cpta &amp; bur.(2805001) :</t>
  </si>
  <si>
    <t>600 x 25% =</t>
  </si>
  <si>
    <t>Logiciels de paye  (2805002) :</t>
  </si>
  <si>
    <t>900 x 25% =</t>
  </si>
  <si>
    <t>900 x 100% x 4/12 =</t>
  </si>
  <si>
    <t>(9600-6608,70)x50%x6/12=</t>
  </si>
  <si>
    <t>cumulés à la fin</t>
  </si>
  <si>
    <t>Dépréciations des stocks</t>
  </si>
  <si>
    <t>1er janvier 2003</t>
  </si>
  <si>
    <t xml:space="preserve">Vous travaillez dans l'établissement CUISI-BIEN spécialisé dans la préparation et la vente de plats cuisinés régionaux. Cette entreprise a été créée le 1er janvier 2002. On vous remet la fiche de suivi des immobilisations dont l'entreprise </t>
  </si>
  <si>
    <t>Etat - Impôt sur les bénéfices</t>
  </si>
  <si>
    <r>
      <t>a  =  C  x  t   /  [ 1  -  (1 + t)</t>
    </r>
    <r>
      <rPr>
        <b/>
        <vertAlign val="superscript"/>
        <sz val="10"/>
        <rFont val="Arial"/>
        <family val="2"/>
      </rPr>
      <t xml:space="preserve"> -n</t>
    </r>
    <r>
      <rPr>
        <b/>
        <sz val="10"/>
        <rFont val="Arial"/>
        <family val="2"/>
      </rPr>
      <t xml:space="preserve"> ]</t>
    </r>
  </si>
  <si>
    <t>Échéances</t>
  </si>
  <si>
    <t>Capital restant</t>
  </si>
  <si>
    <t>Intérêts</t>
  </si>
  <si>
    <t>Remboursements</t>
  </si>
  <si>
    <t>Annuités</t>
  </si>
  <si>
    <t>a =</t>
  </si>
  <si>
    <r>
      <t xml:space="preserve">  32 000  x  3%  /  [1 - (1,03)</t>
    </r>
    <r>
      <rPr>
        <i/>
        <vertAlign val="superscript"/>
        <sz val="10"/>
        <color indexed="10"/>
        <rFont val="Arial"/>
        <family val="2"/>
      </rPr>
      <t>-5</t>
    </r>
    <r>
      <rPr>
        <i/>
        <sz val="10"/>
        <color indexed="10"/>
        <rFont val="Arial"/>
        <family val="2"/>
      </rPr>
      <t>]   =</t>
    </r>
  </si>
  <si>
    <t>début période</t>
  </si>
  <si>
    <t>Calcul de l'annuité constante (emprunt 2):</t>
  </si>
  <si>
    <t>Intérêts courus sur emprunts auprès étab. de crédit</t>
  </si>
  <si>
    <t>Intérêts courus en 2007</t>
  </si>
  <si>
    <r>
      <t xml:space="preserve">Intérêts courus non échus  (emprunt 2)   </t>
    </r>
    <r>
      <rPr>
        <i/>
        <sz val="10"/>
        <color indexed="10"/>
        <rFont val="Arial"/>
        <family val="2"/>
      </rPr>
      <t>=   960 x 9 / 12    =</t>
    </r>
  </si>
  <si>
    <r>
      <t xml:space="preserve">Intérêts courus non échus  (emprunt 1)   </t>
    </r>
    <r>
      <rPr>
        <i/>
        <sz val="10"/>
        <color indexed="10"/>
        <rFont val="Arial"/>
        <family val="2"/>
      </rPr>
      <t>=   120 000  x  4,5 %  x 8 / 12    =</t>
    </r>
  </si>
  <si>
    <t>Produits constatés d'avance</t>
  </si>
  <si>
    <t>Charges constatées d'avance</t>
  </si>
  <si>
    <t>Achats non-stockées</t>
  </si>
  <si>
    <t>Achats  non-stockées</t>
  </si>
  <si>
    <t>Achats non-stockés</t>
  </si>
  <si>
    <t>Revenus des immeubles (1 200 x 2/6 = 400)</t>
  </si>
  <si>
    <t xml:space="preserve">Revenus des immeubles </t>
  </si>
  <si>
    <t>Clients - Factures à établir</t>
  </si>
  <si>
    <t>Fournitures non consommées en 2007</t>
  </si>
  <si>
    <t>Loyer perçu d'avance en 2007</t>
  </si>
  <si>
    <t>TVA sur factures à établir</t>
  </si>
  <si>
    <t>Facturation à établir</t>
  </si>
  <si>
    <t>Charges d'intérêts (720 + 3 600)</t>
  </si>
  <si>
    <t>TRAVAUX D'INVENTAIRE</t>
  </si>
  <si>
    <t>Acquisitions et cession d'immobilisations. Immobilisations et amortissements. Régularisations de charges et produits. BILAN. Compte de Résultat.</t>
  </si>
  <si>
    <r>
      <t xml:space="preserve">É N O N C </t>
    </r>
    <r>
      <rPr>
        <b/>
        <sz val="16"/>
        <rFont val="Arial"/>
        <family val="0"/>
      </rPr>
      <t>É</t>
    </r>
  </si>
  <si>
    <r>
      <t xml:space="preserve">    Le travail à faire consiste à réaliser les </t>
    </r>
    <r>
      <rPr>
        <b/>
        <sz val="10"/>
        <rFont val="Arial"/>
        <family val="2"/>
      </rPr>
      <t>opérations d'inventaire</t>
    </r>
    <r>
      <rPr>
        <sz val="10"/>
        <rFont val="Arial"/>
        <family val="0"/>
      </rPr>
      <t>, après avoir rappelé les comptabilisations</t>
    </r>
  </si>
  <si>
    <t>de la déprécation intervenue au 31/12/2006, et de l'acquisition de deux immobilisations et la cession d'une autre</t>
  </si>
  <si>
    <t>immobilisation durant l'exercice 2007.</t>
  </si>
  <si>
    <t xml:space="preserve">     Stocks de denrées alimentaires au 31/12/2007</t>
  </si>
  <si>
    <t xml:space="preserve">     Stocks de fournitures consommables au 31/12/2007</t>
  </si>
  <si>
    <t xml:space="preserve">     Stocks de produits finis</t>
  </si>
  <si>
    <r>
      <t xml:space="preserve">La </t>
    </r>
    <r>
      <rPr>
        <u val="single"/>
        <sz val="10"/>
        <rFont val="Arial"/>
        <family val="2"/>
      </rPr>
      <t>dépréciation sur le stock de denrées alimentaires</t>
    </r>
    <r>
      <rPr>
        <sz val="10"/>
        <rFont val="Arial"/>
        <family val="0"/>
      </rPr>
      <t xml:space="preserve"> ne se justifie plus, mais il convient de constater une </t>
    </r>
  </si>
  <si>
    <r>
      <t>dépréciation sur les produits finis</t>
    </r>
    <r>
      <rPr>
        <sz val="10"/>
        <rFont val="Arial"/>
        <family val="0"/>
      </rPr>
      <t xml:space="preserve"> pour 1 200 €.</t>
    </r>
  </si>
  <si>
    <r>
      <t xml:space="preserve">Le </t>
    </r>
    <r>
      <rPr>
        <u val="single"/>
        <sz val="10"/>
        <rFont val="Arial"/>
        <family val="2"/>
      </rPr>
      <t>client REBOIS</t>
    </r>
    <r>
      <rPr>
        <sz val="10"/>
        <rFont val="Arial"/>
        <family val="0"/>
      </rPr>
      <t xml:space="preserve"> vient d'être déclaré en redressement judiciaire, la créance de 12 145,38 € sur ce client doit être</t>
    </r>
  </si>
  <si>
    <r>
      <t xml:space="preserve">Un </t>
    </r>
    <r>
      <rPr>
        <u val="single"/>
        <sz val="10"/>
        <rFont val="Arial"/>
        <family val="2"/>
      </rPr>
      <t xml:space="preserve">litige avec un membre de personnel </t>
    </r>
    <r>
      <rPr>
        <sz val="10"/>
        <rFont val="Arial"/>
        <family val="0"/>
      </rPr>
      <t xml:space="preserve">licencié récemment risque de se traduire par des indemnités à verser. </t>
    </r>
  </si>
  <si>
    <t xml:space="preserve">L'avocat fixe le montant probable à 7 500 €. La provision pour litiges existante est toujours justifée, le litige </t>
  </si>
  <si>
    <t>n'étant pas réglé.</t>
  </si>
  <si>
    <t xml:space="preserve">     - assurance des véhicules (850 €) : les primes annuelles démarrent de la date en mise en service, pour </t>
  </si>
  <si>
    <t>un montant de 450 € pour le véhicule isotherme, et un montant de 400 € pour la 205 acquise en 2007</t>
  </si>
  <si>
    <t xml:space="preserve">annuelle a une échéance annuelle au 1er avril chaque année </t>
  </si>
  <si>
    <r>
      <t xml:space="preserve">Les </t>
    </r>
    <r>
      <rPr>
        <u val="single"/>
        <sz val="10"/>
        <rFont val="Arial"/>
        <family val="2"/>
      </rPr>
      <t>emprunts</t>
    </r>
    <r>
      <rPr>
        <sz val="10"/>
        <rFont val="Arial"/>
        <family val="0"/>
      </rPr>
      <t xml:space="preserve"> se décomposent de la façon suivante :</t>
    </r>
  </si>
  <si>
    <t xml:space="preserve">     - emprunt 1 : 120 000 € empruntés le 30/4/2002, remboursables intégralement (in fine) le 30/4/2012. Les</t>
  </si>
  <si>
    <t>intérêts sont payés au taux de 4,5 % à la date anniversaire chaque année le 30 avril.</t>
  </si>
  <si>
    <t xml:space="preserve">     - emprunt 2 : 32 000 € empruntés le 1er avril 2007, remboursés sur 5 ans par annuités constantes annuelles, </t>
  </si>
  <si>
    <t xml:space="preserve">au taux d'intérêt de 3%, acquittées le 1er avril chaque année. </t>
  </si>
  <si>
    <r>
      <t>Location :</t>
    </r>
    <r>
      <rPr>
        <sz val="10"/>
        <rFont val="Arial"/>
        <family val="0"/>
      </rPr>
      <t xml:space="preserve"> la société CUISI-BIEN loue à un autre professionnel un entrepôt qu'elle possède, pour un loyer </t>
    </r>
  </si>
  <si>
    <t>semestriel de 1 200 €, perçu d'avance le 1er mars et le 1er septembre.</t>
  </si>
  <si>
    <r>
      <t xml:space="preserve">Facture à établir : </t>
    </r>
    <r>
      <rPr>
        <sz val="10"/>
        <rFont val="Arial"/>
        <family val="0"/>
      </rPr>
      <t xml:space="preserve">une facture de vente de produit finis, pour laquelle la livraison a été effectuée le 28/12/07, </t>
    </r>
  </si>
  <si>
    <t>n'a pu être établie : montant HT 1 120 €, TVA à 5,5 %.</t>
  </si>
  <si>
    <t xml:space="preserve"> sur la base de la même période des années précédentes elle devrait être d'un montant HT de 450 €, TVA à 19,6%.</t>
  </si>
  <si>
    <r>
      <t xml:space="preserve">Au 31 décembre 2007, il reste des </t>
    </r>
    <r>
      <rPr>
        <u val="single"/>
        <sz val="10"/>
        <rFont val="Arial"/>
        <family val="2"/>
      </rPr>
      <t>fournitures diverses non consommées</t>
    </r>
    <r>
      <rPr>
        <sz val="10"/>
        <rFont val="Arial"/>
        <family val="0"/>
      </rPr>
      <t xml:space="preserve"> en 2007, pour un montant de 1 300 €. </t>
    </r>
  </si>
  <si>
    <t xml:space="preserve">   1)  Rappeler  la comptabilisation de la dépréciation constatée au 31/12/2006 sur le matériel de </t>
  </si>
  <si>
    <t>conservation, et l'acquisition des deux immobilisations</t>
  </si>
  <si>
    <t xml:space="preserve">   2)  Présenter les tableaux d'amortissement des deux matériels acquis en 2007 et refaire le tableau </t>
  </si>
  <si>
    <t xml:space="preserve">d'amortissement du matériel de conservation à partir de 2006. </t>
  </si>
  <si>
    <t xml:space="preserve">   3)  Comptabiliser la cession du matériel de cuisson, calculer les amortissements comptables des</t>
  </si>
  <si>
    <t xml:space="preserve">   4) Présenter le tableau de remboursement de l'emprunt 2 à annuités constantes.</t>
  </si>
  <si>
    <t xml:space="preserve">   5) Comptabiliser les écritures de régularisation de charges et de produits selon les informations </t>
  </si>
  <si>
    <t xml:space="preserve">ci-dessus. </t>
  </si>
  <si>
    <t xml:space="preserve">   6)  Compléter au 31/12/2007 les états des immobilisations (2054) et des amortissements (2055) ,</t>
  </si>
  <si>
    <t xml:space="preserve"> ainsi que le bilan (2050-2051) et le compte de résultat (2052-2053).</t>
  </si>
  <si>
    <t>biens antérieurement acquis et comptabiliser au 31/12/2007 l'ensemble de ces éléments, ainsi que la</t>
  </si>
  <si>
    <t>régularisation de la cession du matériel de cuisson.</t>
  </si>
  <si>
    <t>Dotations aux provisions pour risques sur litiges</t>
  </si>
  <si>
    <t>Clients douteux</t>
  </si>
  <si>
    <t>Client REBOIS devenu douteux</t>
  </si>
  <si>
    <t>Reprises sur dépréciations de l'actif circulant</t>
  </si>
  <si>
    <t xml:space="preserve">     - assurance multirisques mobilier, immobilier, responsabilité civile, perte d'exploitation (6 000 €) : la prime </t>
  </si>
  <si>
    <t>TVA sur factures non parvenues</t>
  </si>
  <si>
    <t>Fournisseurs - factures non parvenues</t>
  </si>
  <si>
    <t>Facture EdF non parvenue</t>
  </si>
  <si>
    <t>Régularisation de la cession du matériel de cuisson</t>
  </si>
  <si>
    <t xml:space="preserve">     Cette étude de cas porte sur les travaux d'inventaire, et a pour but à travers ceux-ci de faire </t>
  </si>
  <si>
    <t xml:space="preserve">      Pour le moment, en attendant sa rénovation prochaine, le référentiel de ces classes exclut </t>
  </si>
  <si>
    <t xml:space="preserve">l'utilisation de l'amortissement dérogatoire. L'application présentée se conformera donc à cette </t>
  </si>
  <si>
    <t xml:space="preserve">Les 3 premières feuilles sont des documents de présentation de la situation à traiter et des </t>
  </si>
  <si>
    <r>
      <t>Le fichier énoncé</t>
    </r>
    <r>
      <rPr>
        <sz val="10"/>
        <rFont val="Arial"/>
        <family val="0"/>
      </rPr>
      <t xml:space="preserve"> comporte 10 feuilles de calcul dans le fichier : "</t>
    </r>
    <r>
      <rPr>
        <i/>
        <sz val="10"/>
        <color indexed="12"/>
        <rFont val="Arial"/>
        <family val="2"/>
      </rPr>
      <t>Tx inventaire (bac pro)</t>
    </r>
    <r>
      <rPr>
        <sz val="10"/>
        <rFont val="Arial"/>
        <family val="0"/>
      </rPr>
      <t>" :</t>
    </r>
  </si>
  <si>
    <r>
      <t xml:space="preserve">Le corrigé </t>
    </r>
    <r>
      <rPr>
        <sz val="10"/>
        <rFont val="Arial"/>
        <family val="0"/>
      </rPr>
      <t xml:space="preserve">propose, en plus des documents complétés, une feuille supplémentaire, qui présente </t>
    </r>
  </si>
  <si>
    <t>dépréciation d'une immobilisation, de 2 acquisitions, et d'une cession) :</t>
  </si>
  <si>
    <t>dépréciations, variation des stocks et des régularisations de charges et de produits</t>
  </si>
  <si>
    <t xml:space="preserve"> - établissement d'un tableau d'emprunt à annuités constantes</t>
  </si>
  <si>
    <t xml:space="preserve">différence entre l'amortisement de nature fiscale (dégressif) et l'amortissement purement comptable </t>
  </si>
  <si>
    <r>
      <t>Les travaux à faire</t>
    </r>
    <r>
      <rPr>
        <sz val="10"/>
        <rFont val="Arial"/>
        <family val="0"/>
      </rPr>
      <t xml:space="preserve"> sont des travaux classiques d'inventaire (précédés d'une comptabilisation de  </t>
    </r>
  </si>
  <si>
    <t xml:space="preserve"> - calcul d'amortissements sur biens anciens, de dépréciations et provisions</t>
  </si>
  <si>
    <t>Les prévisions (qui ont été globalement réalisées) étaient les suivantes  : en 2004, 10 000 km; en 2005 , 20 000 km; en 2006, 25 000; en 2007, 25 000; en 2008, 30 000; en 2009, 35 000; en 2010, 30 000; et en 2011, 25 000.</t>
  </si>
  <si>
    <r>
      <t xml:space="preserve">établir par les élèves de baccalauréat professionnel "comptabilité" la liasse </t>
    </r>
    <r>
      <rPr>
        <b/>
        <sz val="10"/>
        <rFont val="Arial"/>
        <family val="2"/>
      </rPr>
      <t>comptable</t>
    </r>
    <r>
      <rPr>
        <sz val="10"/>
        <rFont val="Arial"/>
        <family val="0"/>
      </rPr>
      <t xml:space="preserve"> en </t>
    </r>
    <r>
      <rPr>
        <b/>
        <sz val="10"/>
        <rFont val="Arial"/>
        <family val="2"/>
      </rPr>
      <t>modèle</t>
    </r>
    <r>
      <rPr>
        <sz val="10"/>
        <rFont val="Arial"/>
        <family val="0"/>
      </rPr>
      <t xml:space="preserve"> </t>
    </r>
  </si>
  <si>
    <r>
      <t>de base</t>
    </r>
    <r>
      <rPr>
        <sz val="10"/>
        <rFont val="Arial"/>
        <family val="0"/>
      </rPr>
      <t>.</t>
    </r>
  </si>
  <si>
    <t xml:space="preserve">état fiscaux, en rajoutant par ailleurs les autres travaux d'inventaire (stocks, dépréciations, provisions, </t>
  </si>
  <si>
    <t>régularisations de charges et de produits).</t>
  </si>
  <si>
    <r>
      <t>N. B. :</t>
    </r>
    <r>
      <rPr>
        <sz val="10"/>
        <rFont val="Arial"/>
        <family val="0"/>
      </rPr>
      <t xml:space="preserve"> cette application reprend sous un angle comptable les éléments d'immobilisations et d'amortis- </t>
    </r>
  </si>
  <si>
    <r>
      <t>sements présentés dans l'étude de cas "</t>
    </r>
    <r>
      <rPr>
        <i/>
        <sz val="10"/>
        <color indexed="12"/>
        <rFont val="Arial"/>
        <family val="2"/>
      </rPr>
      <t>Immos et amort. liasse fiscale</t>
    </r>
    <r>
      <rPr>
        <sz val="10"/>
        <rFont val="Arial"/>
        <family val="0"/>
      </rPr>
      <t>" axée sur la présentation des .</t>
    </r>
  </si>
  <si>
    <t xml:space="preserve">prévu par le référentiel, proposera quand même d'utiliser ce mode d'amortissement. Afin de ne pas </t>
  </si>
  <si>
    <t xml:space="preserve">      De façon à mettre en parallèle une application plus conforme aux règles comptables telles </t>
  </si>
  <si>
    <t xml:space="preserve">     La situation professionnelle présente un tableau de suivi d'immobilisations, avec amortissements </t>
  </si>
  <si>
    <t xml:space="preserve">variables, linéaires ou dégressifs, ainsi qu'une balance comptable avant inventaire. </t>
  </si>
  <si>
    <r>
      <t xml:space="preserve">comporte un </t>
    </r>
    <r>
      <rPr>
        <b/>
        <sz val="10"/>
        <rFont val="Arial"/>
        <family val="2"/>
      </rPr>
      <t>monte-charge</t>
    </r>
    <r>
      <rPr>
        <sz val="10"/>
        <rFont val="Arial"/>
        <family val="0"/>
      </rPr>
      <t xml:space="preserve"> (représentant 12,5 % de la valeur du bâtiment), dont la durée de vie n'est que de 10 ans, et qui à ce titre a été considéré comme un composant, </t>
    </r>
  </si>
  <si>
    <r>
      <t>dérogatoire est fournie par ailleurs : fichier "</t>
    </r>
    <r>
      <rPr>
        <i/>
        <sz val="12"/>
        <color indexed="12"/>
        <rFont val="Garamond"/>
        <family val="1"/>
      </rPr>
      <t>Tx inventaire compta modèle de base (pour aller plus loin)</t>
    </r>
    <r>
      <rPr>
        <i/>
        <sz val="12"/>
        <rFont val="Garamond"/>
        <family val="1"/>
      </rPr>
      <t xml:space="preserve"> "</t>
    </r>
    <r>
      <rPr>
        <sz val="12"/>
        <rFont val="Garamond"/>
        <family val="1"/>
      </rPr>
      <t>.</t>
    </r>
  </si>
  <si>
    <r>
      <t xml:space="preserve">La </t>
    </r>
    <r>
      <rPr>
        <u val="single"/>
        <sz val="10"/>
        <rFont val="Arial"/>
        <family val="2"/>
      </rPr>
      <t>prime d'assurances</t>
    </r>
    <r>
      <rPr>
        <sz val="10"/>
        <rFont val="Arial"/>
        <family val="0"/>
      </rPr>
      <t xml:space="preserve"> payée (annuellement et d'avance) en 2007 se décompose de la manière suivante :</t>
    </r>
  </si>
  <si>
    <r>
      <t>Facture à recevoir :</t>
    </r>
    <r>
      <rPr>
        <sz val="10"/>
        <rFont val="Arial"/>
        <family val="0"/>
      </rPr>
      <t xml:space="preserve"> la prochaine facture EdF concernera la période du 1er décembre 2007 au 31 janvier 2008,</t>
    </r>
  </si>
  <si>
    <t>Primes payées d'avance (450 x 165/360 + 400 x 73/360 + 6 000 x 3/12)</t>
  </si>
  <si>
    <t>est propriétaire, ainsi que ainsi que les factures d'achat de 2 nouvelles immobilisations. Par ailleurs l'entreprise a vendu le 18 juillet 2007 le matériel de cuisson pour 4 784 € TTC.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</si>
</sst>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0.0000%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color indexed="10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0"/>
    </font>
    <font>
      <b/>
      <u val="single"/>
      <sz val="12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0"/>
    </font>
    <font>
      <i/>
      <sz val="8"/>
      <color indexed="10"/>
      <name val="Arial"/>
      <family val="2"/>
    </font>
    <font>
      <b/>
      <sz val="11"/>
      <color indexed="10"/>
      <name val="Arial"/>
      <family val="0"/>
    </font>
    <font>
      <b/>
      <vertAlign val="superscript"/>
      <sz val="10"/>
      <name val="Arial"/>
      <family val="2"/>
    </font>
    <font>
      <i/>
      <vertAlign val="superscript"/>
      <sz val="10"/>
      <color indexed="10"/>
      <name val="Arial"/>
      <family val="2"/>
    </font>
    <font>
      <b/>
      <sz val="16"/>
      <name val="Arial"/>
      <family val="2"/>
    </font>
    <font>
      <sz val="12"/>
      <name val="Garamond"/>
      <family val="1"/>
    </font>
    <font>
      <i/>
      <sz val="12"/>
      <name val="Garamond"/>
      <family val="1"/>
    </font>
    <font>
      <i/>
      <sz val="12"/>
      <color indexed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ck"/>
      <bottom style="thick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double"/>
      <top style="thin"/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left"/>
    </xf>
    <xf numFmtId="4" fontId="0" fillId="0" borderId="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11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5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1" fillId="0" borderId="36" xfId="0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36" xfId="0" applyFont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4" fontId="0" fillId="0" borderId="60" xfId="0" applyNumberFormat="1" applyBorder="1" applyAlignment="1">
      <alignment/>
    </xf>
    <xf numFmtId="0" fontId="3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" fillId="0" borderId="0" xfId="0" applyFont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9" xfId="0" applyFill="1" applyBorder="1" applyAlignment="1">
      <alignment/>
    </xf>
    <xf numFmtId="0" fontId="7" fillId="0" borderId="0" xfId="0" applyFon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7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75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75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8" xfId="0" applyFont="1" applyBorder="1" applyAlignment="1">
      <alignment horizontal="center"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79" xfId="0" applyFont="1" applyBorder="1" applyAlignment="1">
      <alignment/>
    </xf>
    <xf numFmtId="0" fontId="5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72" xfId="0" applyBorder="1" applyAlignment="1">
      <alignment/>
    </xf>
    <xf numFmtId="0" fontId="5" fillId="0" borderId="89" xfId="0" applyFont="1" applyBorder="1" applyAlignment="1">
      <alignment horizontal="center"/>
    </xf>
    <xf numFmtId="0" fontId="9" fillId="0" borderId="9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92" xfId="0" applyFont="1" applyBorder="1" applyAlignment="1">
      <alignment horizontal="center"/>
    </xf>
    <xf numFmtId="0" fontId="10" fillId="0" borderId="80" xfId="0" applyFont="1" applyBorder="1" applyAlignment="1">
      <alignment horizontal="left"/>
    </xf>
    <xf numFmtId="3" fontId="9" fillId="0" borderId="26" xfId="0" applyNumberFormat="1" applyFont="1" applyBorder="1" applyAlignment="1">
      <alignment/>
    </xf>
    <xf numFmtId="3" fontId="9" fillId="0" borderId="93" xfId="0" applyNumberFormat="1" applyFont="1" applyBorder="1" applyAlignment="1">
      <alignment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7" fillId="0" borderId="89" xfId="0" applyFont="1" applyBorder="1" applyAlignment="1">
      <alignment horizontal="right"/>
    </xf>
    <xf numFmtId="0" fontId="0" fillId="0" borderId="95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8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90" xfId="0" applyBorder="1" applyAlignment="1">
      <alignment horizontal="center"/>
    </xf>
    <xf numFmtId="0" fontId="0" fillId="0" borderId="90" xfId="0" applyBorder="1" applyAlignment="1">
      <alignment horizontal="left"/>
    </xf>
    <xf numFmtId="14" fontId="0" fillId="0" borderId="27" xfId="0" applyNumberFormat="1" applyBorder="1" applyAlignment="1">
      <alignment horizontal="center"/>
    </xf>
    <xf numFmtId="0" fontId="0" fillId="0" borderId="96" xfId="0" applyBorder="1" applyAlignment="1">
      <alignment/>
    </xf>
    <xf numFmtId="4" fontId="0" fillId="0" borderId="97" xfId="0" applyNumberFormat="1" applyBorder="1" applyAlignment="1">
      <alignment/>
    </xf>
    <xf numFmtId="0" fontId="0" fillId="0" borderId="98" xfId="0" applyBorder="1" applyAlignment="1">
      <alignment horizontal="left"/>
    </xf>
    <xf numFmtId="0" fontId="0" fillId="0" borderId="99" xfId="0" applyBorder="1" applyAlignment="1">
      <alignment horizontal="center"/>
    </xf>
    <xf numFmtId="0" fontId="0" fillId="0" borderId="97" xfId="0" applyBorder="1" applyAlignment="1">
      <alignment horizontal="left"/>
    </xf>
    <xf numFmtId="0" fontId="0" fillId="0" borderId="97" xfId="0" applyBorder="1" applyAlignment="1">
      <alignment horizontal="center"/>
    </xf>
    <xf numFmtId="4" fontId="0" fillId="0" borderId="97" xfId="0" applyNumberFormat="1" applyBorder="1" applyAlignment="1">
      <alignment horizontal="right"/>
    </xf>
    <xf numFmtId="4" fontId="0" fillId="0" borderId="100" xfId="0" applyNumberFormat="1" applyBorder="1" applyAlignment="1">
      <alignment/>
    </xf>
    <xf numFmtId="0" fontId="0" fillId="0" borderId="81" xfId="0" applyBorder="1" applyAlignment="1">
      <alignment/>
    </xf>
    <xf numFmtId="0" fontId="0" fillId="0" borderId="10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85" xfId="0" applyBorder="1" applyAlignment="1">
      <alignment/>
    </xf>
    <xf numFmtId="0" fontId="0" fillId="0" borderId="26" xfId="0" applyBorder="1" applyAlignment="1">
      <alignment horizontal="center"/>
    </xf>
    <xf numFmtId="15" fontId="0" fillId="0" borderId="2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15" fontId="0" fillId="0" borderId="79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91" xfId="0" applyBorder="1" applyAlignment="1">
      <alignment horizontal="center"/>
    </xf>
    <xf numFmtId="4" fontId="0" fillId="0" borderId="91" xfId="0" applyNumberFormat="1" applyBorder="1" applyAlignment="1">
      <alignment horizontal="right"/>
    </xf>
    <xf numFmtId="0" fontId="0" fillId="0" borderId="86" xfId="0" applyBorder="1" applyAlignment="1">
      <alignment/>
    </xf>
    <xf numFmtId="15" fontId="0" fillId="0" borderId="76" xfId="0" applyNumberFormat="1" applyBorder="1" applyAlignment="1">
      <alignment horizontal="center"/>
    </xf>
    <xf numFmtId="4" fontId="0" fillId="0" borderId="84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5" xfId="0" applyNumberFormat="1" applyBorder="1" applyAlignment="1">
      <alignment horizontal="right"/>
    </xf>
    <xf numFmtId="15" fontId="0" fillId="0" borderId="9" xfId="0" applyNumberFormat="1" applyBorder="1" applyAlignment="1">
      <alignment horizontal="center"/>
    </xf>
    <xf numFmtId="4" fontId="0" fillId="0" borderId="90" xfId="0" applyNumberFormat="1" applyBorder="1" applyAlignment="1">
      <alignment horizontal="right"/>
    </xf>
    <xf numFmtId="0" fontId="0" fillId="0" borderId="80" xfId="0" applyBorder="1" applyAlignment="1">
      <alignment/>
    </xf>
    <xf numFmtId="0" fontId="0" fillId="0" borderId="8" xfId="0" applyBorder="1" applyAlignment="1">
      <alignment horizontal="right"/>
    </xf>
    <xf numFmtId="0" fontId="0" fillId="0" borderId="78" xfId="0" applyBorder="1" applyAlignment="1">
      <alignment/>
    </xf>
    <xf numFmtId="0" fontId="0" fillId="0" borderId="91" xfId="0" applyBorder="1" applyAlignment="1">
      <alignment horizontal="right"/>
    </xf>
    <xf numFmtId="0" fontId="0" fillId="0" borderId="75" xfId="0" applyBorder="1" applyAlignment="1">
      <alignment/>
    </xf>
    <xf numFmtId="0" fontId="0" fillId="0" borderId="90" xfId="0" applyBorder="1" applyAlignment="1">
      <alignment horizontal="right"/>
    </xf>
    <xf numFmtId="0" fontId="0" fillId="0" borderId="83" xfId="0" applyBorder="1" applyAlignment="1">
      <alignment/>
    </xf>
    <xf numFmtId="0" fontId="0" fillId="0" borderId="102" xfId="0" applyBorder="1" applyAlignment="1">
      <alignment horizontal="center"/>
    </xf>
    <xf numFmtId="4" fontId="0" fillId="0" borderId="102" xfId="0" applyNumberFormat="1" applyBorder="1" applyAlignment="1">
      <alignment/>
    </xf>
    <xf numFmtId="15" fontId="0" fillId="0" borderId="10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4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9" xfId="0" applyBorder="1" applyAlignment="1">
      <alignment horizontal="left"/>
    </xf>
    <xf numFmtId="0" fontId="0" fillId="0" borderId="76" xfId="0" applyBorder="1" applyAlignment="1">
      <alignment/>
    </xf>
    <xf numFmtId="14" fontId="1" fillId="0" borderId="0" xfId="0" applyNumberFormat="1" applyFont="1" applyAlignment="1">
      <alignment/>
    </xf>
    <xf numFmtId="4" fontId="0" fillId="0" borderId="76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7" xfId="0" applyBorder="1" applyAlignment="1">
      <alignment horizontal="left"/>
    </xf>
    <xf numFmtId="0" fontId="0" fillId="0" borderId="77" xfId="0" applyBorder="1" applyAlignment="1">
      <alignment/>
    </xf>
    <xf numFmtId="0" fontId="0" fillId="0" borderId="75" xfId="0" applyBorder="1" applyAlignment="1">
      <alignment horizontal="left"/>
    </xf>
    <xf numFmtId="0" fontId="0" fillId="0" borderId="80" xfId="0" applyBorder="1" applyAlignment="1">
      <alignment horizontal="center"/>
    </xf>
    <xf numFmtId="0" fontId="0" fillId="0" borderId="7" xfId="0" applyBorder="1" applyAlignment="1">
      <alignment horizontal="center"/>
    </xf>
    <xf numFmtId="4" fontId="25" fillId="0" borderId="0" xfId="0" applyNumberFormat="1" applyFont="1" applyBorder="1" applyAlignment="1">
      <alignment horizontal="left"/>
    </xf>
    <xf numFmtId="4" fontId="0" fillId="0" borderId="93" xfId="0" applyNumberFormat="1" applyBorder="1" applyAlignment="1">
      <alignment/>
    </xf>
    <xf numFmtId="4" fontId="0" fillId="0" borderId="77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8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/>
    </xf>
    <xf numFmtId="4" fontId="15" fillId="0" borderId="9" xfId="0" applyNumberFormat="1" applyFont="1" applyBorder="1" applyAlignment="1">
      <alignment horizontal="right"/>
    </xf>
    <xf numFmtId="0" fontId="16" fillId="0" borderId="76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4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/>
    </xf>
    <xf numFmtId="4" fontId="16" fillId="0" borderId="3" xfId="0" applyNumberFormat="1" applyFont="1" applyBorder="1" applyAlignment="1">
      <alignment/>
    </xf>
    <xf numFmtId="4" fontId="17" fillId="0" borderId="9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24" xfId="0" applyNumberFormat="1" applyFont="1" applyBorder="1" applyAlignment="1">
      <alignment/>
    </xf>
    <xf numFmtId="4" fontId="15" fillId="0" borderId="25" xfId="0" applyNumberFormat="1" applyFont="1" applyBorder="1" applyAlignment="1">
      <alignment/>
    </xf>
    <xf numFmtId="0" fontId="15" fillId="0" borderId="76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4" fontId="18" fillId="0" borderId="9" xfId="0" applyNumberFormat="1" applyFont="1" applyBorder="1" applyAlignment="1">
      <alignment/>
    </xf>
    <xf numFmtId="4" fontId="18" fillId="0" borderId="20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16" fillId="0" borderId="0" xfId="0" applyNumberFormat="1" applyFont="1" applyAlignment="1">
      <alignment/>
    </xf>
    <xf numFmtId="0" fontId="15" fillId="0" borderId="49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8" xfId="0" applyFont="1" applyBorder="1" applyAlignment="1">
      <alignment/>
    </xf>
    <xf numFmtId="4" fontId="15" fillId="0" borderId="37" xfId="0" applyNumberFormat="1" applyFont="1" applyBorder="1" applyAlignment="1">
      <alignment/>
    </xf>
    <xf numFmtId="4" fontId="15" fillId="0" borderId="3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4" fontId="15" fillId="0" borderId="85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107" xfId="0" applyNumberFormat="1" applyFont="1" applyBorder="1" applyAlignment="1">
      <alignment/>
    </xf>
    <xf numFmtId="4" fontId="15" fillId="0" borderId="108" xfId="0" applyNumberFormat="1" applyFont="1" applyBorder="1" applyAlignment="1">
      <alignment/>
    </xf>
    <xf numFmtId="4" fontId="15" fillId="0" borderId="109" xfId="0" applyNumberFormat="1" applyFont="1" applyBorder="1" applyAlignment="1">
      <alignment/>
    </xf>
    <xf numFmtId="4" fontId="15" fillId="0" borderId="49" xfId="0" applyNumberFormat="1" applyFont="1" applyBorder="1" applyAlignment="1">
      <alignment/>
    </xf>
    <xf numFmtId="4" fontId="15" fillId="0" borderId="5" xfId="0" applyNumberFormat="1" applyFont="1" applyBorder="1" applyAlignment="1">
      <alignment/>
    </xf>
    <xf numFmtId="4" fontId="15" fillId="0" borderId="55" xfId="0" applyNumberFormat="1" applyFont="1" applyBorder="1" applyAlignment="1">
      <alignment/>
    </xf>
    <xf numFmtId="4" fontId="15" fillId="0" borderId="110" xfId="0" applyNumberFormat="1" applyFont="1" applyBorder="1" applyAlignment="1">
      <alignment/>
    </xf>
    <xf numFmtId="4" fontId="15" fillId="0" borderId="1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9" xfId="0" applyFont="1" applyFill="1" applyBorder="1" applyAlignment="1">
      <alignment/>
    </xf>
    <xf numFmtId="4" fontId="15" fillId="0" borderId="9" xfId="0" applyNumberFormat="1" applyFont="1" applyFill="1" applyBorder="1" applyAlignment="1">
      <alignment/>
    </xf>
    <xf numFmtId="4" fontId="15" fillId="2" borderId="9" xfId="0" applyNumberFormat="1" applyFont="1" applyFill="1" applyBorder="1" applyAlignment="1">
      <alignment/>
    </xf>
    <xf numFmtId="4" fontId="16" fillId="2" borderId="3" xfId="0" applyNumberFormat="1" applyFont="1" applyFill="1" applyBorder="1" applyAlignment="1">
      <alignment/>
    </xf>
    <xf numFmtId="4" fontId="16" fillId="2" borderId="26" xfId="0" applyNumberFormat="1" applyFont="1" applyFill="1" applyBorder="1" applyAlignment="1">
      <alignment/>
    </xf>
    <xf numFmtId="4" fontId="19" fillId="0" borderId="9" xfId="0" applyNumberFormat="1" applyFont="1" applyBorder="1" applyAlignment="1">
      <alignment/>
    </xf>
    <xf numFmtId="4" fontId="20" fillId="0" borderId="9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4" fontId="19" fillId="0" borderId="7" xfId="0" applyNumberFormat="1" applyFont="1" applyBorder="1" applyAlignment="1">
      <alignment/>
    </xf>
    <xf numFmtId="4" fontId="19" fillId="0" borderId="93" xfId="0" applyNumberFormat="1" applyFont="1" applyBorder="1" applyAlignment="1">
      <alignment/>
    </xf>
    <xf numFmtId="4" fontId="19" fillId="0" borderId="5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48" xfId="0" applyNumberFormat="1" applyFont="1" applyBorder="1" applyAlignment="1">
      <alignment/>
    </xf>
    <xf numFmtId="4" fontId="22" fillId="0" borderId="9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77" xfId="0" applyNumberFormat="1" applyFont="1" applyBorder="1" applyAlignment="1">
      <alignment/>
    </xf>
    <xf numFmtId="4" fontId="19" fillId="0" borderId="3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4" xfId="0" applyNumberFormat="1" applyFont="1" applyBorder="1" applyAlignment="1">
      <alignment/>
    </xf>
    <xf numFmtId="4" fontId="19" fillId="0" borderId="40" xfId="0" applyNumberFormat="1" applyFont="1" applyBorder="1" applyAlignment="1">
      <alignment/>
    </xf>
    <xf numFmtId="4" fontId="19" fillId="0" borderId="41" xfId="0" applyNumberFormat="1" applyFont="1" applyBorder="1" applyAlignment="1">
      <alignment/>
    </xf>
    <xf numFmtId="4" fontId="19" fillId="0" borderId="102" xfId="0" applyNumberFormat="1" applyFont="1" applyBorder="1" applyAlignment="1">
      <alignment/>
    </xf>
    <xf numFmtId="4" fontId="19" fillId="0" borderId="105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7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4" fontId="23" fillId="0" borderId="5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55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27" xfId="0" applyNumberFormat="1" applyFont="1" applyBorder="1" applyAlignment="1">
      <alignment/>
    </xf>
    <xf numFmtId="4" fontId="23" fillId="0" borderId="3" xfId="0" applyNumberFormat="1" applyFont="1" applyBorder="1" applyAlignment="1">
      <alignment/>
    </xf>
    <xf numFmtId="4" fontId="23" fillId="0" borderId="1" xfId="0" applyNumberFormat="1" applyFont="1" applyBorder="1" applyAlignment="1">
      <alignment/>
    </xf>
    <xf numFmtId="4" fontId="23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28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14" fontId="25" fillId="0" borderId="0" xfId="0" applyNumberFormat="1" applyFont="1" applyBorder="1" applyAlignment="1">
      <alignment/>
    </xf>
    <xf numFmtId="1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15" fillId="0" borderId="75" xfId="0" applyFont="1" applyBorder="1" applyAlignment="1">
      <alignment horizontal="center"/>
    </xf>
    <xf numFmtId="4" fontId="15" fillId="0" borderId="86" xfId="0" applyNumberFormat="1" applyFont="1" applyBorder="1" applyAlignment="1">
      <alignment horizontal="right"/>
    </xf>
    <xf numFmtId="4" fontId="15" fillId="0" borderId="27" xfId="0" applyNumberFormat="1" applyFont="1" applyBorder="1" applyAlignment="1">
      <alignment/>
    </xf>
    <xf numFmtId="4" fontId="15" fillId="0" borderId="90" xfId="0" applyNumberFormat="1" applyFont="1" applyBorder="1" applyAlignment="1">
      <alignment/>
    </xf>
    <xf numFmtId="4" fontId="15" fillId="0" borderId="86" xfId="0" applyNumberFormat="1" applyFont="1" applyBorder="1" applyAlignment="1">
      <alignment/>
    </xf>
    <xf numFmtId="0" fontId="15" fillId="0" borderId="112" xfId="0" applyFont="1" applyBorder="1" applyAlignment="1">
      <alignment/>
    </xf>
    <xf numFmtId="4" fontId="15" fillId="0" borderId="113" xfId="0" applyNumberFormat="1" applyFont="1" applyBorder="1" applyAlignment="1">
      <alignment/>
    </xf>
    <xf numFmtId="4" fontId="15" fillId="0" borderId="102" xfId="0" applyNumberFormat="1" applyFont="1" applyBorder="1" applyAlignment="1">
      <alignment/>
    </xf>
    <xf numFmtId="4" fontId="15" fillId="0" borderId="29" xfId="0" applyNumberFormat="1" applyFont="1" applyBorder="1" applyAlignment="1">
      <alignment/>
    </xf>
    <xf numFmtId="4" fontId="15" fillId="0" borderId="46" xfId="0" applyNumberFormat="1" applyFont="1" applyBorder="1" applyAlignment="1">
      <alignment/>
    </xf>
    <xf numFmtId="4" fontId="15" fillId="0" borderId="43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left"/>
    </xf>
    <xf numFmtId="0" fontId="15" fillId="0" borderId="88" xfId="0" applyFont="1" applyBorder="1" applyAlignment="1">
      <alignment/>
    </xf>
    <xf numFmtId="0" fontId="15" fillId="0" borderId="77" xfId="0" applyFont="1" applyBorder="1" applyAlignment="1">
      <alignment/>
    </xf>
    <xf numFmtId="4" fontId="15" fillId="0" borderId="77" xfId="0" applyNumberFormat="1" applyFont="1" applyBorder="1" applyAlignment="1">
      <alignment/>
    </xf>
    <xf numFmtId="0" fontId="0" fillId="0" borderId="114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15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77" xfId="0" applyNumberForma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77" xfId="0" applyNumberFormat="1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4" fontId="15" fillId="0" borderId="10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0" fontId="15" fillId="0" borderId="102" xfId="0" applyFont="1" applyBorder="1" applyAlignment="1">
      <alignment horizontal="center"/>
    </xf>
    <xf numFmtId="4" fontId="15" fillId="0" borderId="10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6" fillId="0" borderId="0" xfId="0" applyFont="1" applyAlignment="1">
      <alignment/>
    </xf>
    <xf numFmtId="4" fontId="27" fillId="0" borderId="0" xfId="0" applyNumberFormat="1" applyFont="1" applyAlignment="1">
      <alignment horizontal="center"/>
    </xf>
    <xf numFmtId="4" fontId="15" fillId="0" borderId="76" xfId="0" applyNumberFormat="1" applyFont="1" applyBorder="1" applyAlignment="1">
      <alignment/>
    </xf>
    <xf numFmtId="4" fontId="27" fillId="0" borderId="86" xfId="0" applyNumberFormat="1" applyFont="1" applyBorder="1" applyAlignment="1">
      <alignment horizontal="center"/>
    </xf>
    <xf numFmtId="0" fontId="15" fillId="0" borderId="86" xfId="0" applyFont="1" applyBorder="1" applyAlignment="1">
      <alignment/>
    </xf>
    <xf numFmtId="0" fontId="15" fillId="0" borderId="27" xfId="0" applyFont="1" applyBorder="1" applyAlignment="1">
      <alignment/>
    </xf>
    <xf numFmtId="4" fontId="15" fillId="0" borderId="30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7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8" fillId="0" borderId="102" xfId="0" applyNumberFormat="1" applyFont="1" applyBorder="1" applyAlignment="1">
      <alignment/>
    </xf>
    <xf numFmtId="4" fontId="28" fillId="0" borderId="29" xfId="0" applyNumberFormat="1" applyFont="1" applyBorder="1" applyAlignment="1">
      <alignment/>
    </xf>
    <xf numFmtId="4" fontId="19" fillId="0" borderId="29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4" fontId="16" fillId="0" borderId="38" xfId="0" applyNumberFormat="1" applyFont="1" applyBorder="1" applyAlignment="1">
      <alignment/>
    </xf>
    <xf numFmtId="4" fontId="16" fillId="0" borderId="5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4" fontId="16" fillId="0" borderId="55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9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0" fillId="2" borderId="14" xfId="0" applyNumberFormat="1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2" borderId="20" xfId="0" applyNumberFormat="1" applyFill="1" applyBorder="1" applyAlignment="1">
      <alignment/>
    </xf>
    <xf numFmtId="4" fontId="0" fillId="2" borderId="116" xfId="0" applyNumberFormat="1" applyFill="1" applyBorder="1" applyAlignment="1">
      <alignment/>
    </xf>
    <xf numFmtId="4" fontId="0" fillId="2" borderId="117" xfId="0" applyNumberFormat="1" applyFill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14" fontId="15" fillId="0" borderId="118" xfId="0" applyNumberFormat="1" applyFont="1" applyBorder="1" applyAlignment="1">
      <alignment horizontal="center"/>
    </xf>
    <xf numFmtId="4" fontId="15" fillId="0" borderId="119" xfId="0" applyNumberFormat="1" applyFont="1" applyBorder="1" applyAlignment="1">
      <alignment/>
    </xf>
    <xf numFmtId="14" fontId="15" fillId="0" borderId="120" xfId="0" applyNumberFormat="1" applyFont="1" applyBorder="1" applyAlignment="1">
      <alignment horizontal="center"/>
    </xf>
    <xf numFmtId="4" fontId="15" fillId="0" borderId="121" xfId="0" applyNumberFormat="1" applyFont="1" applyBorder="1" applyAlignment="1">
      <alignment/>
    </xf>
    <xf numFmtId="14" fontId="15" fillId="0" borderId="122" xfId="0" applyNumberFormat="1" applyFont="1" applyBorder="1" applyAlignment="1">
      <alignment horizontal="center"/>
    </xf>
    <xf numFmtId="4" fontId="15" fillId="0" borderId="123" xfId="0" applyNumberFormat="1" applyFont="1" applyBorder="1" applyAlignment="1">
      <alignment/>
    </xf>
    <xf numFmtId="0" fontId="18" fillId="0" borderId="87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12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84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90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1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5" fillId="0" borderId="125" xfId="0" applyNumberFormat="1" applyFont="1" applyBorder="1" applyAlignment="1">
      <alignment horizontal="center"/>
    </xf>
    <xf numFmtId="4" fontId="15" fillId="0" borderId="126" xfId="0" applyNumberFormat="1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89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4" fontId="15" fillId="0" borderId="127" xfId="0" applyNumberFormat="1" applyFont="1" applyBorder="1" applyAlignment="1">
      <alignment horizontal="center"/>
    </xf>
    <xf numFmtId="4" fontId="15" fillId="0" borderId="128" xfId="0" applyNumberFormat="1" applyFont="1" applyBorder="1" applyAlignment="1">
      <alignment horizontal="center"/>
    </xf>
    <xf numFmtId="4" fontId="15" fillId="0" borderId="129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left"/>
    </xf>
    <xf numFmtId="0" fontId="0" fillId="0" borderId="13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8" xfId="0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95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0" xfId="0" applyAlignment="1">
      <alignment horizontal="center"/>
    </xf>
    <xf numFmtId="4" fontId="15" fillId="0" borderId="132" xfId="0" applyNumberFormat="1" applyFont="1" applyBorder="1" applyAlignment="1">
      <alignment horizontal="center"/>
    </xf>
    <xf numFmtId="4" fontId="15" fillId="0" borderId="133" xfId="0" applyNumberFormat="1" applyFont="1" applyBorder="1" applyAlignment="1">
      <alignment horizontal="center"/>
    </xf>
    <xf numFmtId="4" fontId="15" fillId="0" borderId="134" xfId="0" applyNumberFormat="1" applyFont="1" applyBorder="1" applyAlignment="1">
      <alignment horizontal="center"/>
    </xf>
    <xf numFmtId="4" fontId="15" fillId="0" borderId="13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90" xfId="0" applyBorder="1" applyAlignment="1">
      <alignment horizontal="center"/>
    </xf>
    <xf numFmtId="0" fontId="12" fillId="0" borderId="0" xfId="0" applyFont="1" applyAlignment="1">
      <alignment horizontal="center"/>
    </xf>
    <xf numFmtId="15" fontId="0" fillId="0" borderId="84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76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76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4" fontId="25" fillId="0" borderId="18" xfId="0" applyNumberFormat="1" applyFont="1" applyBorder="1" applyAlignment="1">
      <alignment horizontal="left"/>
    </xf>
    <xf numFmtId="0" fontId="0" fillId="0" borderId="8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6" xfId="0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9" fillId="0" borderId="72" xfId="0" applyNumberFormat="1" applyFont="1" applyBorder="1" applyAlignment="1">
      <alignment horizontal="right" vertical="center"/>
    </xf>
    <xf numFmtId="0" fontId="19" fillId="0" borderId="102" xfId="0" applyFont="1" applyBorder="1" applyAlignment="1">
      <alignment horizontal="right" vertical="center"/>
    </xf>
    <xf numFmtId="4" fontId="0" fillId="0" borderId="136" xfId="0" applyNumberFormat="1" applyBorder="1" applyAlignment="1">
      <alignment horizontal="right" vertical="center"/>
    </xf>
    <xf numFmtId="4" fontId="0" fillId="0" borderId="137" xfId="0" applyNumberFormat="1" applyBorder="1" applyAlignment="1">
      <alignment horizontal="right" vertical="center"/>
    </xf>
    <xf numFmtId="0" fontId="0" fillId="0" borderId="137" xfId="0" applyBorder="1" applyAlignment="1">
      <alignment horizontal="right"/>
    </xf>
    <xf numFmtId="4" fontId="19" fillId="2" borderId="72" xfId="0" applyNumberFormat="1" applyFont="1" applyFill="1" applyBorder="1" applyAlignment="1">
      <alignment horizontal="center" vertical="center"/>
    </xf>
    <xf numFmtId="0" fontId="19" fillId="2" borderId="138" xfId="0" applyFont="1" applyFill="1" applyBorder="1" applyAlignment="1">
      <alignment horizontal="center" vertical="center"/>
    </xf>
    <xf numFmtId="4" fontId="0" fillId="2" borderId="136" xfId="0" applyNumberFormat="1" applyFill="1" applyBorder="1" applyAlignment="1">
      <alignment horizontal="center" vertical="center"/>
    </xf>
    <xf numFmtId="4" fontId="0" fillId="2" borderId="139" xfId="0" applyNumberFormat="1" applyFill="1" applyBorder="1" applyAlignment="1">
      <alignment horizontal="center" vertical="center"/>
    </xf>
    <xf numFmtId="0" fontId="1" fillId="2" borderId="140" xfId="0" applyFont="1" applyFill="1" applyBorder="1" applyAlignment="1">
      <alignment horizontal="center" vertical="center"/>
    </xf>
    <xf numFmtId="0" fontId="1" fillId="2" borderId="141" xfId="0" applyFont="1" applyFill="1" applyBorder="1" applyAlignment="1">
      <alignment horizontal="center" vertical="center"/>
    </xf>
    <xf numFmtId="4" fontId="19" fillId="2" borderId="72" xfId="0" applyNumberFormat="1" applyFont="1" applyFill="1" applyBorder="1" applyAlignment="1">
      <alignment horizontal="right" vertical="center"/>
    </xf>
    <xf numFmtId="0" fontId="19" fillId="2" borderId="138" xfId="0" applyFont="1" applyFill="1" applyBorder="1" applyAlignment="1">
      <alignment horizontal="right" vertical="center"/>
    </xf>
    <xf numFmtId="0" fontId="2" fillId="0" borderId="1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14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7" fillId="0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J9" sqref="J9"/>
    </sheetView>
  </sheetViews>
  <sheetFormatPr defaultColWidth="11.421875" defaultRowHeight="12.75"/>
  <cols>
    <col min="8" max="8" width="5.00390625" style="0" customWidth="1"/>
  </cols>
  <sheetData>
    <row r="1" spans="1:7" ht="18">
      <c r="A1" s="499" t="s">
        <v>4</v>
      </c>
      <c r="B1" s="499"/>
      <c r="C1" s="499"/>
      <c r="D1" s="499"/>
      <c r="E1" s="499"/>
      <c r="F1" s="499"/>
      <c r="G1" s="499"/>
    </row>
    <row r="3" ht="12.75">
      <c r="A3" t="s">
        <v>656</v>
      </c>
    </row>
    <row r="4" ht="12.75">
      <c r="A4" t="s">
        <v>669</v>
      </c>
    </row>
    <row r="5" ht="12.75">
      <c r="A5" s="257" t="s">
        <v>670</v>
      </c>
    </row>
    <row r="6" ht="12.75">
      <c r="A6" t="s">
        <v>677</v>
      </c>
    </row>
    <row r="7" ht="12.75">
      <c r="A7" t="s">
        <v>678</v>
      </c>
    </row>
    <row r="8" ht="12.75">
      <c r="A8" t="s">
        <v>657</v>
      </c>
    </row>
    <row r="9" ht="12.75">
      <c r="A9" t="s">
        <v>658</v>
      </c>
    </row>
    <row r="10" ht="12.75">
      <c r="A10" t="s">
        <v>0</v>
      </c>
    </row>
    <row r="11" ht="12.75">
      <c r="A11" t="s">
        <v>675</v>
      </c>
    </row>
    <row r="12" ht="12.75">
      <c r="A12" t="s">
        <v>1</v>
      </c>
    </row>
    <row r="13" ht="12.75">
      <c r="A13" t="s">
        <v>665</v>
      </c>
    </row>
    <row r="14" ht="12.75">
      <c r="A14" t="s">
        <v>5</v>
      </c>
    </row>
    <row r="15" ht="12.75">
      <c r="A15" t="s">
        <v>6</v>
      </c>
    </row>
    <row r="16" ht="12.75">
      <c r="A16" t="s">
        <v>2</v>
      </c>
    </row>
    <row r="17" ht="15.75">
      <c r="A17" s="462" t="s">
        <v>676</v>
      </c>
    </row>
    <row r="18" ht="15.75">
      <c r="A18" s="462" t="s">
        <v>3</v>
      </c>
    </row>
    <row r="19" ht="15.75">
      <c r="A19" s="462" t="s">
        <v>680</v>
      </c>
    </row>
    <row r="21" ht="12.75">
      <c r="A21" s="431" t="s">
        <v>660</v>
      </c>
    </row>
    <row r="22" ht="12.75">
      <c r="A22" t="s">
        <v>659</v>
      </c>
    </row>
    <row r="23" spans="1:3" ht="12.75">
      <c r="A23" t="s">
        <v>7</v>
      </c>
      <c r="C23" t="s">
        <v>8</v>
      </c>
    </row>
    <row r="24" ht="12.75">
      <c r="C24" t="s">
        <v>9</v>
      </c>
    </row>
    <row r="25" ht="12.75">
      <c r="C25" t="s">
        <v>10</v>
      </c>
    </row>
    <row r="26" ht="12.75">
      <c r="A26" t="s">
        <v>19</v>
      </c>
    </row>
    <row r="27" ht="12.75">
      <c r="C27" t="s">
        <v>11</v>
      </c>
    </row>
    <row r="28" ht="12.75">
      <c r="C28" t="s">
        <v>13</v>
      </c>
    </row>
    <row r="29" ht="12.75">
      <c r="C29" t="s">
        <v>14</v>
      </c>
    </row>
    <row r="30" ht="12.75">
      <c r="C30" t="s">
        <v>15</v>
      </c>
    </row>
    <row r="31" ht="12.75">
      <c r="C31" t="s">
        <v>16</v>
      </c>
    </row>
    <row r="32" ht="12.75">
      <c r="C32" t="s">
        <v>17</v>
      </c>
    </row>
    <row r="33" ht="12.75">
      <c r="C33" t="s">
        <v>18</v>
      </c>
    </row>
    <row r="34" ht="12.75">
      <c r="A34" s="431" t="s">
        <v>661</v>
      </c>
    </row>
    <row r="35" ht="12.75">
      <c r="A35" t="s">
        <v>20</v>
      </c>
    </row>
    <row r="37" ht="12.75">
      <c r="A37" s="431" t="s">
        <v>666</v>
      </c>
    </row>
    <row r="38" ht="12.75">
      <c r="A38" t="s">
        <v>662</v>
      </c>
    </row>
    <row r="39" ht="12.75">
      <c r="B39" t="s">
        <v>21</v>
      </c>
    </row>
    <row r="40" ht="12.75">
      <c r="B40" t="s">
        <v>22</v>
      </c>
    </row>
    <row r="41" ht="12.75">
      <c r="B41" t="s">
        <v>664</v>
      </c>
    </row>
    <row r="42" ht="12.75">
      <c r="B42" t="s">
        <v>667</v>
      </c>
    </row>
    <row r="43" ht="12.75">
      <c r="B43" t="s">
        <v>23</v>
      </c>
    </row>
    <row r="44" ht="12.75">
      <c r="B44" t="s">
        <v>663</v>
      </c>
    </row>
    <row r="46" ht="12.75">
      <c r="A46" s="431" t="s">
        <v>673</v>
      </c>
    </row>
    <row r="47" ht="12.75">
      <c r="A47" t="s">
        <v>674</v>
      </c>
    </row>
    <row r="48" ht="12.75">
      <c r="A48" t="s">
        <v>671</v>
      </c>
    </row>
    <row r="49" ht="12.75">
      <c r="A49" t="s">
        <v>672</v>
      </c>
    </row>
  </sheetData>
  <mergeCells count="1">
    <mergeCell ref="A1:G1"/>
  </mergeCells>
  <printOptions/>
  <pageMargins left="0.5905511811023623" right="0.7874015748031497" top="0.984251968503937" bottom="0.984251968503937" header="0.5118110236220472" footer="0.5118110236220472"/>
  <pageSetup orientation="portrait" paperSize="9" r:id="rId1"/>
  <headerFooter alignWithMargins="0">
    <oddHeader>&amp;L&amp;"Arial,Italique"&amp;8Tx inventaire modèle de base (pour aller plus loin)&amp;R&amp;"Arial,Italique"&amp;8Corrigé</oddHeader>
    <oddFooter>&amp;L&amp;"Arial,Italique"&amp;8J. Louis VIVENS&amp;R&amp;"Arial,Italique"&amp;8&amp;A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0">
      <selection activeCell="I25" sqref="I25"/>
    </sheetView>
  </sheetViews>
  <sheetFormatPr defaultColWidth="11.421875" defaultRowHeight="12.75"/>
  <cols>
    <col min="6" max="6" width="6.140625" style="0" customWidth="1"/>
    <col min="7" max="7" width="13.7109375" style="0" customWidth="1"/>
    <col min="8" max="8" width="12.57421875" style="0" customWidth="1"/>
    <col min="9" max="9" width="13.421875" style="0" customWidth="1"/>
    <col min="10" max="10" width="11.8515625" style="0" customWidth="1"/>
    <col min="11" max="11" width="14.00390625" style="0" customWidth="1"/>
  </cols>
  <sheetData>
    <row r="1" spans="1:11" ht="15">
      <c r="A1" s="590" t="s">
        <v>276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s="3" customFormat="1" ht="15.75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7" t="s">
        <v>277</v>
      </c>
    </row>
    <row r="3" spans="1:11" ht="12.75">
      <c r="A3" s="591" t="s">
        <v>221</v>
      </c>
      <c r="B3" s="592"/>
      <c r="C3" s="592"/>
      <c r="D3" s="592"/>
      <c r="E3" s="592"/>
      <c r="F3" s="593"/>
      <c r="G3" s="107" t="s">
        <v>222</v>
      </c>
      <c r="H3" s="108" t="s">
        <v>223</v>
      </c>
      <c r="I3" s="594" t="s">
        <v>224</v>
      </c>
      <c r="J3" s="593"/>
      <c r="K3" s="109" t="s">
        <v>222</v>
      </c>
    </row>
    <row r="4" spans="1:11" ht="12.75">
      <c r="A4" s="110"/>
      <c r="B4" s="111"/>
      <c r="C4" s="111"/>
      <c r="D4" s="111"/>
      <c r="E4" s="111"/>
      <c r="F4" s="111"/>
      <c r="G4" s="112" t="s">
        <v>225</v>
      </c>
      <c r="H4" s="113"/>
      <c r="I4" s="114" t="s">
        <v>226</v>
      </c>
      <c r="J4" s="112" t="s">
        <v>227</v>
      </c>
      <c r="K4" s="115" t="s">
        <v>225</v>
      </c>
    </row>
    <row r="5" spans="1:11" ht="12.75">
      <c r="A5" s="116"/>
      <c r="B5" s="117"/>
      <c r="C5" s="117"/>
      <c r="D5" s="117"/>
      <c r="E5" s="117"/>
      <c r="F5" s="117"/>
      <c r="G5" s="118"/>
      <c r="H5" s="113"/>
      <c r="I5" s="119" t="s">
        <v>228</v>
      </c>
      <c r="J5" s="118" t="s">
        <v>229</v>
      </c>
      <c r="K5" s="120"/>
    </row>
    <row r="6" spans="1:11" ht="14.25">
      <c r="A6" s="121" t="s">
        <v>230</v>
      </c>
      <c r="B6" s="122" t="s">
        <v>274</v>
      </c>
      <c r="C6" s="122"/>
      <c r="D6" s="122"/>
      <c r="E6" s="122"/>
      <c r="F6" s="123" t="s">
        <v>231</v>
      </c>
      <c r="G6" s="324"/>
      <c r="H6" s="324"/>
      <c r="I6" s="325"/>
      <c r="J6" s="324"/>
      <c r="K6" s="326"/>
    </row>
    <row r="7" spans="1:11" ht="14.25">
      <c r="A7" s="124"/>
      <c r="B7" s="117" t="s">
        <v>232</v>
      </c>
      <c r="C7" s="117"/>
      <c r="D7" s="117"/>
      <c r="E7" s="117"/>
      <c r="F7" s="125" t="s">
        <v>231</v>
      </c>
      <c r="G7" s="327">
        <f>'Bal. av. invent.'!C12+'Bal. av. invent.'!C13</f>
        <v>1500</v>
      </c>
      <c r="H7" s="327"/>
      <c r="I7" s="328"/>
      <c r="J7" s="327"/>
      <c r="K7" s="329">
        <f>G7+H7-I7-J7</f>
        <v>1500</v>
      </c>
    </row>
    <row r="8" spans="1:11" ht="14.25">
      <c r="A8" s="126"/>
      <c r="B8" s="111" t="s">
        <v>233</v>
      </c>
      <c r="C8" s="111"/>
      <c r="D8" s="111"/>
      <c r="E8" s="111"/>
      <c r="F8" s="111"/>
      <c r="G8" s="330"/>
      <c r="H8" s="330"/>
      <c r="I8" s="331"/>
      <c r="J8" s="330"/>
      <c r="K8" s="332"/>
    </row>
    <row r="9" spans="1:11" ht="14.25">
      <c r="A9" s="126"/>
      <c r="B9" s="111" t="s">
        <v>234</v>
      </c>
      <c r="C9" s="111"/>
      <c r="D9" s="111"/>
      <c r="E9" s="111"/>
      <c r="F9" s="111"/>
      <c r="G9" s="330"/>
      <c r="H9" s="330"/>
      <c r="I9" s="331"/>
      <c r="J9" s="330"/>
      <c r="K9" s="332"/>
    </row>
    <row r="10" spans="1:11" ht="14.25">
      <c r="A10" s="126"/>
      <c r="B10" s="111"/>
      <c r="C10" s="111" t="s">
        <v>235</v>
      </c>
      <c r="D10" s="111"/>
      <c r="E10" s="111"/>
      <c r="F10" s="111"/>
      <c r="G10" s="330">
        <f>'Bal. av. invent.'!C14+'Bal. av. invent.'!C15</f>
        <v>560000</v>
      </c>
      <c r="H10" s="330"/>
      <c r="I10" s="331"/>
      <c r="J10" s="330"/>
      <c r="K10" s="332">
        <f>G10+H10-I10-J10</f>
        <v>560000</v>
      </c>
    </row>
    <row r="11" spans="1:11" ht="14.25">
      <c r="A11" s="126"/>
      <c r="B11" s="111"/>
      <c r="C11" s="111" t="s">
        <v>236</v>
      </c>
      <c r="D11" s="111"/>
      <c r="E11" s="111"/>
      <c r="F11" s="111"/>
      <c r="G11" s="330"/>
      <c r="H11" s="330"/>
      <c r="I11" s="331"/>
      <c r="J11" s="330"/>
      <c r="K11" s="332"/>
    </row>
    <row r="12" spans="1:11" ht="14.25">
      <c r="A12" s="126"/>
      <c r="B12" s="111"/>
      <c r="C12" s="111" t="s">
        <v>237</v>
      </c>
      <c r="D12" s="111"/>
      <c r="E12" s="111"/>
      <c r="F12" s="111"/>
      <c r="G12" s="330"/>
      <c r="H12" s="330"/>
      <c r="I12" s="331"/>
      <c r="J12" s="330"/>
      <c r="K12" s="332"/>
    </row>
    <row r="13" spans="1:11" ht="14.25">
      <c r="A13" s="126"/>
      <c r="B13" s="111" t="s">
        <v>238</v>
      </c>
      <c r="C13" s="111"/>
      <c r="D13" s="111"/>
      <c r="E13" s="111"/>
      <c r="F13" s="111"/>
      <c r="G13" s="330">
        <f>'Bal. av. invent.'!C16+'Bal. av. invent.'!C17+'Bal. av. invent.'!C18</f>
        <v>37800</v>
      </c>
      <c r="H13" s="330">
        <f>'Bal. av. invent.'!C19</f>
        <v>21000</v>
      </c>
      <c r="I13" s="331"/>
      <c r="J13" s="330">
        <f>'Bal. av. invent.'!C18</f>
        <v>9600</v>
      </c>
      <c r="K13" s="332">
        <f>G13+H13-I13-J13</f>
        <v>49200</v>
      </c>
    </row>
    <row r="14" spans="1:11" ht="14.25">
      <c r="A14" s="126" t="s">
        <v>239</v>
      </c>
      <c r="B14" s="111" t="s">
        <v>240</v>
      </c>
      <c r="C14" s="111"/>
      <c r="D14" s="111"/>
      <c r="E14" s="111"/>
      <c r="F14" s="111"/>
      <c r="G14" s="330"/>
      <c r="H14" s="330"/>
      <c r="I14" s="331"/>
      <c r="J14" s="330"/>
      <c r="K14" s="332"/>
    </row>
    <row r="15" spans="1:11" ht="14.25">
      <c r="A15" s="126"/>
      <c r="B15" s="111"/>
      <c r="C15" s="111" t="s">
        <v>237</v>
      </c>
      <c r="D15" s="111"/>
      <c r="E15" s="111"/>
      <c r="F15" s="111"/>
      <c r="G15" s="330"/>
      <c r="H15" s="330"/>
      <c r="I15" s="331"/>
      <c r="J15" s="330"/>
      <c r="K15" s="332"/>
    </row>
    <row r="16" spans="1:11" ht="14.25">
      <c r="A16" s="126"/>
      <c r="B16" s="111"/>
      <c r="C16" s="111" t="s">
        <v>241</v>
      </c>
      <c r="D16" s="111"/>
      <c r="E16" s="111"/>
      <c r="F16" s="111"/>
      <c r="G16" s="330">
        <f>'Bal. av. invent.'!C20</f>
        <v>12000</v>
      </c>
      <c r="H16" s="330">
        <f>'Bal. av. invent.'!C21</f>
        <v>9000</v>
      </c>
      <c r="I16" s="331"/>
      <c r="J16" s="330"/>
      <c r="K16" s="332">
        <f>G16+H16-I16-J16</f>
        <v>21000</v>
      </c>
    </row>
    <row r="17" spans="1:11" ht="14.25">
      <c r="A17" s="126"/>
      <c r="B17" s="111"/>
      <c r="C17" s="111" t="s">
        <v>242</v>
      </c>
      <c r="D17" s="111"/>
      <c r="E17" s="111"/>
      <c r="F17" s="111"/>
      <c r="G17" s="330">
        <f>'Bal. av. invent.'!C22+'Bal. av. invent.'!C23</f>
        <v>1840</v>
      </c>
      <c r="H17" s="330"/>
      <c r="I17" s="331"/>
      <c r="J17" s="330"/>
      <c r="K17" s="332">
        <f>G17+H17-I17-J17</f>
        <v>1840</v>
      </c>
    </row>
    <row r="18" spans="1:11" ht="14.25">
      <c r="A18" s="126"/>
      <c r="B18" s="111"/>
      <c r="C18" s="111" t="s">
        <v>243</v>
      </c>
      <c r="D18" s="111"/>
      <c r="E18" s="111"/>
      <c r="F18" s="111"/>
      <c r="G18" s="330"/>
      <c r="H18" s="330"/>
      <c r="I18" s="331"/>
      <c r="J18" s="330"/>
      <c r="K18" s="332"/>
    </row>
    <row r="19" spans="1:11" ht="14.25">
      <c r="A19" s="126"/>
      <c r="B19" s="111" t="s">
        <v>244</v>
      </c>
      <c r="C19" s="111"/>
      <c r="D19" s="111"/>
      <c r="E19" s="111"/>
      <c r="F19" s="111"/>
      <c r="G19" s="330"/>
      <c r="H19" s="330"/>
      <c r="I19" s="331"/>
      <c r="J19" s="330"/>
      <c r="K19" s="332"/>
    </row>
    <row r="20" spans="1:11" ht="14.25">
      <c r="A20" s="126"/>
      <c r="B20" s="111" t="s">
        <v>245</v>
      </c>
      <c r="C20" s="111"/>
      <c r="D20" s="111"/>
      <c r="E20" s="111"/>
      <c r="F20" s="111"/>
      <c r="G20" s="330"/>
      <c r="H20" s="330"/>
      <c r="I20" s="331"/>
      <c r="J20" s="330"/>
      <c r="K20" s="332"/>
    </row>
    <row r="21" spans="1:11" ht="14.25">
      <c r="A21" s="127"/>
      <c r="B21" s="128"/>
      <c r="C21" s="128"/>
      <c r="D21" s="128"/>
      <c r="E21" s="595" t="s">
        <v>231</v>
      </c>
      <c r="F21" s="596"/>
      <c r="G21" s="333">
        <f>SUM(G8:G20)</f>
        <v>611640</v>
      </c>
      <c r="H21" s="333">
        <f>SUM(H8:H20)</f>
        <v>30000</v>
      </c>
      <c r="I21" s="334"/>
      <c r="J21" s="333">
        <f>SUM(J8:J20)</f>
        <v>9600</v>
      </c>
      <c r="K21" s="335">
        <f>G21+H21-I21-J21</f>
        <v>632040</v>
      </c>
    </row>
    <row r="22" spans="1:11" ht="14.25">
      <c r="A22" s="126"/>
      <c r="B22" s="111" t="s">
        <v>246</v>
      </c>
      <c r="C22" s="111"/>
      <c r="D22" s="111"/>
      <c r="E22" s="111"/>
      <c r="F22" s="111"/>
      <c r="G22" s="330"/>
      <c r="H22" s="330"/>
      <c r="I22" s="331"/>
      <c r="J22" s="330"/>
      <c r="K22" s="332"/>
    </row>
    <row r="23" spans="1:11" ht="14.25">
      <c r="A23" s="126" t="s">
        <v>247</v>
      </c>
      <c r="B23" s="111" t="s">
        <v>248</v>
      </c>
      <c r="C23" s="111"/>
      <c r="D23" s="111"/>
      <c r="E23" s="111"/>
      <c r="F23" s="111"/>
      <c r="G23" s="330"/>
      <c r="H23" s="330"/>
      <c r="I23" s="331"/>
      <c r="J23" s="330"/>
      <c r="K23" s="332"/>
    </row>
    <row r="24" spans="1:11" ht="14.25">
      <c r="A24" s="110"/>
      <c r="B24" s="111" t="s">
        <v>249</v>
      </c>
      <c r="C24" s="111"/>
      <c r="D24" s="111"/>
      <c r="E24" s="111"/>
      <c r="F24" s="111"/>
      <c r="G24" s="330"/>
      <c r="H24" s="330"/>
      <c r="I24" s="331"/>
      <c r="J24" s="330"/>
      <c r="K24" s="332"/>
    </row>
    <row r="25" spans="1:11" ht="14.25">
      <c r="A25" s="110"/>
      <c r="B25" s="111" t="s">
        <v>250</v>
      </c>
      <c r="C25" s="111"/>
      <c r="D25" s="111"/>
      <c r="E25" s="111"/>
      <c r="F25" s="111"/>
      <c r="G25" s="330">
        <f>'Bal. av. invent.'!C24</f>
        <v>15000</v>
      </c>
      <c r="H25" s="330"/>
      <c r="I25" s="331"/>
      <c r="J25" s="330"/>
      <c r="K25" s="332">
        <f>G25+H25-I25-J25</f>
        <v>15000</v>
      </c>
    </row>
    <row r="26" spans="1:11" ht="15" thickBot="1">
      <c r="A26" s="129"/>
      <c r="B26" s="130"/>
      <c r="C26" s="130"/>
      <c r="D26" s="130"/>
      <c r="E26" s="586" t="s">
        <v>231</v>
      </c>
      <c r="F26" s="587"/>
      <c r="G26" s="336">
        <f>SUM(G22:G25)</f>
        <v>15000</v>
      </c>
      <c r="H26" s="336"/>
      <c r="I26" s="337"/>
      <c r="J26" s="336"/>
      <c r="K26" s="338">
        <f>G26+H26-I26-J26</f>
        <v>15000</v>
      </c>
    </row>
    <row r="27" spans="1:11" ht="15" thickBot="1">
      <c r="A27" s="131"/>
      <c r="B27" s="132"/>
      <c r="C27" s="132"/>
      <c r="D27" s="132"/>
      <c r="E27" s="588" t="s">
        <v>251</v>
      </c>
      <c r="F27" s="589"/>
      <c r="G27" s="339">
        <f>G6+G7+G21+G26</f>
        <v>628140</v>
      </c>
      <c r="H27" s="339">
        <f>H6+H7+H21+H26</f>
        <v>30000</v>
      </c>
      <c r="I27" s="339"/>
      <c r="J27" s="339">
        <f>J6+J7+J21+J26</f>
        <v>9600</v>
      </c>
      <c r="K27" s="340">
        <f>G27+H27-I27-J27</f>
        <v>648540</v>
      </c>
    </row>
  </sheetData>
  <mergeCells count="6">
    <mergeCell ref="E26:F26"/>
    <mergeCell ref="E27:F27"/>
    <mergeCell ref="A1:K1"/>
    <mergeCell ref="A3:F3"/>
    <mergeCell ref="I3:J3"/>
    <mergeCell ref="E21:F21"/>
  </mergeCells>
  <printOptions/>
  <pageMargins left="0.75" right="0.75" top="1" bottom="1" header="0.4921259845" footer="0.4921259845"/>
  <pageSetup orientation="landscape" paperSize="9" r:id="rId1"/>
  <headerFooter alignWithMargins="0">
    <oddFooter>&amp;R&amp;"Arial,Italique"&amp;8 9 -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46">
      <selection activeCell="J42" sqref="J42:J43"/>
    </sheetView>
  </sheetViews>
  <sheetFormatPr defaultColWidth="11.421875" defaultRowHeight="12.75"/>
  <cols>
    <col min="1" max="1" width="11.7109375" style="0" customWidth="1"/>
    <col min="2" max="2" width="6.57421875" style="0" customWidth="1"/>
    <col min="3" max="3" width="7.00390625" style="0" customWidth="1"/>
    <col min="4" max="4" width="6.7109375" style="0" customWidth="1"/>
    <col min="5" max="5" width="6.28125" style="0" customWidth="1"/>
    <col min="6" max="6" width="14.140625" style="0" customWidth="1"/>
    <col min="7" max="7" width="15.28125" style="0" customWidth="1"/>
    <col min="8" max="8" width="14.7109375" style="0" customWidth="1"/>
    <col min="9" max="9" width="15.140625" style="0" customWidth="1"/>
    <col min="10" max="10" width="16.421875" style="0" customWidth="1"/>
  </cols>
  <sheetData>
    <row r="1" spans="1:10" ht="15.75">
      <c r="A1" s="601" t="s">
        <v>252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0" ht="13.5" customHeight="1">
      <c r="A2" s="136"/>
      <c r="B2" s="136"/>
      <c r="C2" s="136"/>
      <c r="D2" s="136"/>
      <c r="E2" s="136"/>
      <c r="F2" s="136"/>
      <c r="G2" s="136"/>
      <c r="H2" s="136"/>
      <c r="I2" s="136"/>
      <c r="J2" s="137" t="s">
        <v>320</v>
      </c>
    </row>
    <row r="3" spans="1:10" ht="15.75" customHeight="1" thickBot="1">
      <c r="A3" s="135"/>
      <c r="B3" s="135"/>
      <c r="C3" s="135"/>
      <c r="D3" s="135"/>
      <c r="E3" s="135"/>
      <c r="F3" s="143" t="s">
        <v>285</v>
      </c>
      <c r="G3" s="135"/>
      <c r="H3" s="135"/>
      <c r="I3" s="135"/>
      <c r="J3" s="135"/>
    </row>
    <row r="4" spans="1:10" ht="16.5" thickBot="1">
      <c r="A4" s="154"/>
      <c r="B4" s="138"/>
      <c r="C4" s="138"/>
      <c r="D4" s="138"/>
      <c r="E4" s="138"/>
      <c r="F4" s="138"/>
      <c r="G4" s="172" t="s">
        <v>280</v>
      </c>
      <c r="H4" s="172" t="s">
        <v>281</v>
      </c>
      <c r="I4" s="172" t="s">
        <v>282</v>
      </c>
      <c r="J4" s="155" t="s">
        <v>283</v>
      </c>
    </row>
    <row r="5" spans="1:10" ht="15.75">
      <c r="A5" s="600" t="s">
        <v>279</v>
      </c>
      <c r="B5" s="601"/>
      <c r="C5" s="601"/>
      <c r="D5" s="601"/>
      <c r="E5" s="601"/>
      <c r="F5" s="602"/>
      <c r="G5" s="139" t="s">
        <v>253</v>
      </c>
      <c r="H5" s="139" t="s">
        <v>223</v>
      </c>
      <c r="I5" s="140" t="s">
        <v>224</v>
      </c>
      <c r="J5" s="156" t="s">
        <v>253</v>
      </c>
    </row>
    <row r="6" spans="1:10" ht="12.75">
      <c r="A6" s="110"/>
      <c r="B6" s="111"/>
      <c r="C6" s="111"/>
      <c r="D6" s="111"/>
      <c r="E6" s="111"/>
      <c r="F6" s="111"/>
      <c r="G6" s="141" t="s">
        <v>275</v>
      </c>
      <c r="H6" s="141" t="s">
        <v>254</v>
      </c>
      <c r="I6" s="141" t="s">
        <v>278</v>
      </c>
      <c r="J6" s="157" t="s">
        <v>574</v>
      </c>
    </row>
    <row r="7" spans="1:10" ht="12.75">
      <c r="A7" s="116"/>
      <c r="B7" s="117"/>
      <c r="C7" s="117"/>
      <c r="D7" s="117"/>
      <c r="E7" s="117"/>
      <c r="F7" s="117"/>
      <c r="G7" s="142" t="s">
        <v>225</v>
      </c>
      <c r="H7" s="142" t="s">
        <v>225</v>
      </c>
      <c r="I7" s="142" t="s">
        <v>225</v>
      </c>
      <c r="J7" s="158" t="s">
        <v>225</v>
      </c>
    </row>
    <row r="8" spans="1:10" ht="12.75">
      <c r="A8" s="145" t="s">
        <v>284</v>
      </c>
      <c r="B8" s="149" t="s">
        <v>274</v>
      </c>
      <c r="C8" s="144"/>
      <c r="D8" s="144"/>
      <c r="E8" s="144"/>
      <c r="F8" s="164" t="s">
        <v>231</v>
      </c>
      <c r="G8" s="341"/>
      <c r="H8" s="341"/>
      <c r="I8" s="342"/>
      <c r="J8" s="343"/>
    </row>
    <row r="9" spans="1:10" ht="12.75">
      <c r="A9" s="148" t="s">
        <v>230</v>
      </c>
      <c r="B9" s="153" t="s">
        <v>232</v>
      </c>
      <c r="C9" s="146"/>
      <c r="D9" s="146"/>
      <c r="E9" s="146"/>
      <c r="F9" s="165" t="s">
        <v>231</v>
      </c>
      <c r="G9" s="344">
        <f>'Bal. av. invent.'!D25+'Bal. av. invent.'!D26</f>
        <v>512.5</v>
      </c>
      <c r="H9" s="344">
        <f>'Comptab.'!H31+'Comptab.'!H32</f>
        <v>375</v>
      </c>
      <c r="I9" s="345"/>
      <c r="J9" s="346">
        <f>G9+H9-I9</f>
        <v>887.5</v>
      </c>
    </row>
    <row r="10" spans="1:10" ht="12.75">
      <c r="A10" s="150"/>
      <c r="B10" s="147" t="s">
        <v>233</v>
      </c>
      <c r="C10" s="147"/>
      <c r="D10" s="147"/>
      <c r="E10" s="147"/>
      <c r="F10" s="166"/>
      <c r="G10" s="284"/>
      <c r="H10" s="284"/>
      <c r="I10" s="347"/>
      <c r="J10" s="348"/>
    </row>
    <row r="11" spans="1:10" ht="12.75">
      <c r="A11" s="151"/>
      <c r="B11" s="147" t="s">
        <v>234</v>
      </c>
      <c r="C11" s="147"/>
      <c r="D11" s="147"/>
      <c r="E11" s="147"/>
      <c r="F11" s="166"/>
      <c r="G11" s="284"/>
      <c r="H11" s="284"/>
      <c r="I11" s="347"/>
      <c r="J11" s="348"/>
    </row>
    <row r="12" spans="1:10" ht="12.75">
      <c r="A12" s="151"/>
      <c r="B12" s="147" t="s">
        <v>303</v>
      </c>
      <c r="C12" s="147"/>
      <c r="D12" s="147"/>
      <c r="E12" s="147"/>
      <c r="F12" s="166"/>
      <c r="G12" s="284">
        <f>'Bal. av. invent.'!D27+'Bal. av. invent.'!D28</f>
        <v>150000</v>
      </c>
      <c r="H12" s="284">
        <f>'Amort.'!E55+'Amort.'!E56</f>
        <v>33000</v>
      </c>
      <c r="I12" s="347"/>
      <c r="J12" s="348">
        <f>G12+H12-I12</f>
        <v>183000</v>
      </c>
    </row>
    <row r="13" spans="1:10" ht="12.75">
      <c r="A13" s="151"/>
      <c r="B13" s="147" t="s">
        <v>304</v>
      </c>
      <c r="C13" s="147"/>
      <c r="D13" s="147"/>
      <c r="E13" s="147"/>
      <c r="F13" s="166"/>
      <c r="G13" s="284"/>
      <c r="H13" s="284"/>
      <c r="I13" s="347"/>
      <c r="J13" s="348"/>
    </row>
    <row r="14" spans="1:10" ht="12.75">
      <c r="A14" s="151"/>
      <c r="B14" s="147" t="s">
        <v>237</v>
      </c>
      <c r="C14" s="147"/>
      <c r="D14" s="147"/>
      <c r="E14" s="147"/>
      <c r="F14" s="166"/>
      <c r="G14" s="284"/>
      <c r="H14" s="284"/>
      <c r="I14" s="347"/>
      <c r="J14" s="348"/>
    </row>
    <row r="15" spans="1:10" ht="12.75">
      <c r="A15" s="151" t="s">
        <v>284</v>
      </c>
      <c r="B15" s="147" t="s">
        <v>238</v>
      </c>
      <c r="C15" s="147"/>
      <c r="D15" s="147"/>
      <c r="E15" s="147"/>
      <c r="F15" s="166"/>
      <c r="G15" s="284">
        <f>'Bal. av. invent.'!D29+'Bal. av. invent.'!D30+'Bal. av. invent.'!D31</f>
        <v>14816.25</v>
      </c>
      <c r="H15" s="284">
        <f>'Amort.'!E57+'Amort.'!E58+'Amort.'!E59+'Amort.'!E60</f>
        <v>4814.333333333333</v>
      </c>
      <c r="I15" s="347">
        <f>'Comptab.'!G44</f>
        <v>6256</v>
      </c>
      <c r="J15" s="348">
        <f>G15+H15-I15</f>
        <v>13374.583333333332</v>
      </c>
    </row>
    <row r="16" spans="1:10" ht="12.75">
      <c r="A16" s="151" t="s">
        <v>239</v>
      </c>
      <c r="B16" s="147" t="s">
        <v>240</v>
      </c>
      <c r="C16" s="147"/>
      <c r="D16" s="147"/>
      <c r="E16" s="147"/>
      <c r="F16" s="166"/>
      <c r="G16" s="284"/>
      <c r="H16" s="284"/>
      <c r="I16" s="347"/>
      <c r="J16" s="348"/>
    </row>
    <row r="17" spans="1:10" ht="12.75">
      <c r="A17" s="151"/>
      <c r="B17" s="147" t="s">
        <v>305</v>
      </c>
      <c r="C17" s="147"/>
      <c r="D17" s="147"/>
      <c r="E17" s="147"/>
      <c r="F17" s="166"/>
      <c r="G17" s="284"/>
      <c r="H17" s="284"/>
      <c r="I17" s="347"/>
      <c r="J17" s="348"/>
    </row>
    <row r="18" spans="1:10" ht="12.75">
      <c r="A18" s="151"/>
      <c r="B18" s="147" t="s">
        <v>306</v>
      </c>
      <c r="C18" s="147"/>
      <c r="D18" s="147"/>
      <c r="E18" s="147"/>
      <c r="F18" s="166"/>
      <c r="G18" s="284">
        <f>'Bal. av. invent.'!D32</f>
        <v>3300</v>
      </c>
      <c r="H18" s="284">
        <f>'Amort.'!E61+'Amort.'!E62</f>
        <v>2400</v>
      </c>
      <c r="I18" s="347"/>
      <c r="J18" s="348">
        <f>G18+H18</f>
        <v>5700</v>
      </c>
    </row>
    <row r="19" spans="1:10" ht="12.75">
      <c r="A19" s="151"/>
      <c r="B19" s="147" t="s">
        <v>307</v>
      </c>
      <c r="C19" s="147"/>
      <c r="D19" s="147"/>
      <c r="E19" s="147"/>
      <c r="F19" s="166"/>
      <c r="G19" s="284">
        <f>'Bal. av. invent.'!D33+'Bal. av. invent.'!D34</f>
        <v>1137.2222222222222</v>
      </c>
      <c r="H19" s="284">
        <f>'Amort.'!E63+'Amort.'!E64</f>
        <v>460</v>
      </c>
      <c r="I19" s="347"/>
      <c r="J19" s="348">
        <f>G19+H19</f>
        <v>1597.2222222222222</v>
      </c>
    </row>
    <row r="20" spans="1:10" ht="12.75">
      <c r="A20" s="152"/>
      <c r="B20" s="147" t="s">
        <v>308</v>
      </c>
      <c r="C20" s="147"/>
      <c r="D20" s="147"/>
      <c r="E20" s="147"/>
      <c r="F20" s="111"/>
      <c r="G20" s="284"/>
      <c r="H20" s="284"/>
      <c r="I20" s="347"/>
      <c r="J20" s="348"/>
    </row>
    <row r="21" spans="1:10" ht="12.75">
      <c r="A21" s="127"/>
      <c r="B21" s="128"/>
      <c r="C21" s="128"/>
      <c r="D21" s="128"/>
      <c r="E21" s="597" t="s">
        <v>231</v>
      </c>
      <c r="F21" s="598"/>
      <c r="G21" s="349">
        <f>SUM(G10:G20)</f>
        <v>169253.47222222222</v>
      </c>
      <c r="H21" s="349">
        <f>SUM(H10:H20)</f>
        <v>40674.333333333336</v>
      </c>
      <c r="I21" s="350">
        <f>SUM(I10:I20)</f>
        <v>6256</v>
      </c>
      <c r="J21" s="351">
        <f>G21+H21-I21</f>
        <v>203671.80555555556</v>
      </c>
    </row>
    <row r="22" spans="1:10" ht="15.75" thickBot="1">
      <c r="A22" s="131"/>
      <c r="B22" s="132"/>
      <c r="C22" s="132"/>
      <c r="D22" s="132"/>
      <c r="E22" s="588" t="s">
        <v>251</v>
      </c>
      <c r="F22" s="589"/>
      <c r="G22" s="410">
        <f>G8+G9+G21</f>
        <v>169765.97222222222</v>
      </c>
      <c r="H22" s="410">
        <f>H8+H9+H21</f>
        <v>41049.333333333336</v>
      </c>
      <c r="I22" s="410">
        <f>I8+I9+I21</f>
        <v>6256</v>
      </c>
      <c r="J22" s="411">
        <f>J8+J9+J21</f>
        <v>204559.30555555556</v>
      </c>
    </row>
    <row r="23" spans="1:10" ht="12.75">
      <c r="A23" s="113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ht="16.5" thickBot="1">
      <c r="A24" s="135"/>
      <c r="B24" s="135"/>
      <c r="C24" s="135"/>
      <c r="D24" s="135"/>
      <c r="E24" s="135"/>
      <c r="F24" s="143" t="s">
        <v>286</v>
      </c>
      <c r="G24" s="135"/>
      <c r="H24" s="135"/>
      <c r="I24" s="135"/>
      <c r="J24" s="135"/>
    </row>
    <row r="25" spans="1:10" ht="16.5" thickBot="1">
      <c r="A25" s="154"/>
      <c r="B25" s="138"/>
      <c r="C25" s="138"/>
      <c r="D25" s="138"/>
      <c r="E25" s="138"/>
      <c r="F25" s="162"/>
      <c r="G25" s="599" t="s">
        <v>297</v>
      </c>
      <c r="H25" s="599"/>
      <c r="I25" s="599"/>
      <c r="J25" s="605"/>
    </row>
    <row r="26" spans="1:10" ht="15.75">
      <c r="A26" s="600" t="s">
        <v>298</v>
      </c>
      <c r="B26" s="601"/>
      <c r="C26" s="601"/>
      <c r="D26" s="601"/>
      <c r="E26" s="601"/>
      <c r="F26" s="403" t="s">
        <v>287</v>
      </c>
      <c r="G26" s="159" t="s">
        <v>288</v>
      </c>
      <c r="H26" s="139" t="s">
        <v>291</v>
      </c>
      <c r="I26" s="139" t="s">
        <v>291</v>
      </c>
      <c r="J26" s="156" t="s">
        <v>287</v>
      </c>
    </row>
    <row r="27" spans="1:10" ht="15.75">
      <c r="A27" s="600" t="s">
        <v>299</v>
      </c>
      <c r="B27" s="601"/>
      <c r="C27" s="601"/>
      <c r="D27" s="601"/>
      <c r="E27" s="601"/>
      <c r="F27" s="403" t="s">
        <v>225</v>
      </c>
      <c r="G27" s="160" t="s">
        <v>289</v>
      </c>
      <c r="H27" s="141" t="s">
        <v>292</v>
      </c>
      <c r="I27" s="141" t="s">
        <v>294</v>
      </c>
      <c r="J27" s="157" t="s">
        <v>296</v>
      </c>
    </row>
    <row r="28" spans="1:10" ht="12.75">
      <c r="A28" s="116"/>
      <c r="B28" s="117"/>
      <c r="C28" s="117"/>
      <c r="D28" s="117"/>
      <c r="E28" s="117"/>
      <c r="F28" s="163"/>
      <c r="G28" s="161" t="s">
        <v>290</v>
      </c>
      <c r="H28" s="142" t="s">
        <v>293</v>
      </c>
      <c r="I28" s="142" t="s">
        <v>295</v>
      </c>
      <c r="J28" s="158"/>
    </row>
    <row r="29" spans="1:10" ht="12.75">
      <c r="A29" s="145" t="s">
        <v>284</v>
      </c>
      <c r="B29" s="149" t="s">
        <v>274</v>
      </c>
      <c r="C29" s="144"/>
      <c r="D29" s="144"/>
      <c r="E29" s="144"/>
      <c r="F29" s="405"/>
      <c r="G29" s="405"/>
      <c r="H29" s="405"/>
      <c r="I29" s="406"/>
      <c r="J29" s="407"/>
    </row>
    <row r="30" spans="1:10" ht="12.75">
      <c r="A30" s="148" t="s">
        <v>230</v>
      </c>
      <c r="B30" s="153" t="s">
        <v>232</v>
      </c>
      <c r="C30" s="146"/>
      <c r="D30" s="146"/>
      <c r="E30" s="146"/>
      <c r="F30" s="415">
        <f>H9</f>
        <v>375</v>
      </c>
      <c r="G30" s="415"/>
      <c r="H30" s="415">
        <f>F30</f>
        <v>375</v>
      </c>
      <c r="I30" s="416"/>
      <c r="J30" s="417"/>
    </row>
    <row r="31" spans="1:10" ht="12.75">
      <c r="A31" s="150"/>
      <c r="B31" s="147" t="s">
        <v>233</v>
      </c>
      <c r="C31" s="147"/>
      <c r="D31" s="147"/>
      <c r="E31" s="147"/>
      <c r="F31" s="281"/>
      <c r="G31" s="281"/>
      <c r="H31" s="281"/>
      <c r="I31" s="418"/>
      <c r="J31" s="365"/>
    </row>
    <row r="32" spans="1:10" ht="12.75">
      <c r="A32" s="151"/>
      <c r="B32" s="147" t="s">
        <v>234</v>
      </c>
      <c r="C32" s="147"/>
      <c r="D32" s="147"/>
      <c r="E32" s="147"/>
      <c r="F32" s="281"/>
      <c r="G32" s="281"/>
      <c r="H32" s="281"/>
      <c r="I32" s="418"/>
      <c r="J32" s="365"/>
    </row>
    <row r="33" spans="1:10" ht="12.75">
      <c r="A33" s="151"/>
      <c r="B33" s="147" t="s">
        <v>303</v>
      </c>
      <c r="C33" s="147"/>
      <c r="D33" s="147"/>
      <c r="E33" s="147"/>
      <c r="F33" s="281">
        <f>H12</f>
        <v>33000</v>
      </c>
      <c r="G33" s="281"/>
      <c r="H33" s="281">
        <f>F33</f>
        <v>33000</v>
      </c>
      <c r="I33" s="418"/>
      <c r="J33" s="365"/>
    </row>
    <row r="34" spans="1:10" ht="12.75">
      <c r="A34" s="151"/>
      <c r="B34" s="147" t="s">
        <v>304</v>
      </c>
      <c r="C34" s="147"/>
      <c r="D34" s="147"/>
      <c r="E34" s="147"/>
      <c r="F34" s="281"/>
      <c r="G34" s="281"/>
      <c r="H34" s="281"/>
      <c r="I34" s="418"/>
      <c r="J34" s="365"/>
    </row>
    <row r="35" spans="1:10" ht="12.75">
      <c r="A35" s="151"/>
      <c r="B35" s="147" t="s">
        <v>237</v>
      </c>
      <c r="C35" s="147"/>
      <c r="D35" s="147"/>
      <c r="E35" s="147"/>
      <c r="F35" s="281"/>
      <c r="G35" s="281"/>
      <c r="H35" s="281"/>
      <c r="I35" s="418"/>
      <c r="J35" s="365"/>
    </row>
    <row r="36" spans="1:10" ht="12.75">
      <c r="A36" s="151" t="s">
        <v>284</v>
      </c>
      <c r="B36" s="147" t="s">
        <v>312</v>
      </c>
      <c r="C36" s="147"/>
      <c r="D36" s="147"/>
      <c r="E36" s="147"/>
      <c r="F36" s="281">
        <f>H15</f>
        <v>4814.333333333333</v>
      </c>
      <c r="G36" s="281"/>
      <c r="H36" s="281">
        <f>F36</f>
        <v>4814.333333333333</v>
      </c>
      <c r="I36" s="418"/>
      <c r="J36" s="365"/>
    </row>
    <row r="37" spans="1:10" ht="12.75">
      <c r="A37" s="151" t="s">
        <v>239</v>
      </c>
      <c r="B37" s="147" t="s">
        <v>240</v>
      </c>
      <c r="C37" s="147"/>
      <c r="D37" s="147"/>
      <c r="E37" s="147"/>
      <c r="F37" s="281"/>
      <c r="G37" s="281"/>
      <c r="H37" s="281"/>
      <c r="I37" s="418"/>
      <c r="J37" s="365"/>
    </row>
    <row r="38" spans="1:10" ht="12.75">
      <c r="A38" s="151"/>
      <c r="B38" s="147" t="s">
        <v>309</v>
      </c>
      <c r="C38" s="147"/>
      <c r="D38" s="147"/>
      <c r="E38" s="147"/>
      <c r="F38" s="281"/>
      <c r="G38" s="281"/>
      <c r="H38" s="281"/>
      <c r="I38" s="418"/>
      <c r="J38" s="365"/>
    </row>
    <row r="39" spans="1:10" ht="12.75">
      <c r="A39" s="151"/>
      <c r="B39" s="147" t="s">
        <v>306</v>
      </c>
      <c r="C39" s="147"/>
      <c r="D39" s="147"/>
      <c r="E39" s="147"/>
      <c r="F39" s="281">
        <f>H18</f>
        <v>2400</v>
      </c>
      <c r="G39" s="281"/>
      <c r="H39" s="281">
        <f>'Amort.'!E62</f>
        <v>900</v>
      </c>
      <c r="I39" s="418">
        <f>'Amort.'!E61</f>
        <v>1500</v>
      </c>
      <c r="J39" s="365"/>
    </row>
    <row r="40" spans="1:10" ht="12.75">
      <c r="A40" s="151"/>
      <c r="B40" s="147" t="s">
        <v>310</v>
      </c>
      <c r="C40" s="147"/>
      <c r="D40" s="147"/>
      <c r="E40" s="147"/>
      <c r="F40" s="281">
        <f>H19</f>
        <v>460</v>
      </c>
      <c r="G40" s="281"/>
      <c r="H40" s="281">
        <f>F40</f>
        <v>460</v>
      </c>
      <c r="I40" s="418"/>
      <c r="J40" s="365"/>
    </row>
    <row r="41" spans="1:10" ht="12.75">
      <c r="A41" s="151"/>
      <c r="B41" s="147" t="s">
        <v>311</v>
      </c>
      <c r="C41" s="147"/>
      <c r="D41" s="147"/>
      <c r="E41" s="147"/>
      <c r="F41" s="281"/>
      <c r="G41" s="281"/>
      <c r="H41" s="281"/>
      <c r="I41" s="418"/>
      <c r="J41" s="365"/>
    </row>
    <row r="42" spans="1:10" ht="12.75">
      <c r="A42" s="127"/>
      <c r="B42" s="128"/>
      <c r="C42" s="128"/>
      <c r="D42" s="170"/>
      <c r="E42" s="171" t="s">
        <v>231</v>
      </c>
      <c r="F42" s="283">
        <f>SUM(F31:F41)</f>
        <v>40674.333333333336</v>
      </c>
      <c r="G42" s="283"/>
      <c r="H42" s="283">
        <f>SUM(H31:H41)</f>
        <v>39174.333333333336</v>
      </c>
      <c r="I42" s="413">
        <f>SUM(I31:I41)</f>
        <v>1500</v>
      </c>
      <c r="J42" s="414"/>
    </row>
    <row r="43" spans="1:10" ht="15" thickBot="1">
      <c r="A43" s="131"/>
      <c r="B43" s="132"/>
      <c r="C43" s="603" t="s">
        <v>251</v>
      </c>
      <c r="D43" s="603"/>
      <c r="E43" s="604"/>
      <c r="F43" s="339">
        <f>F29+F30+F42</f>
        <v>41049.333333333336</v>
      </c>
      <c r="G43" s="339"/>
      <c r="H43" s="339">
        <f>H29+H30+H42</f>
        <v>39549.333333333336</v>
      </c>
      <c r="I43" s="339">
        <f>I29+I30+I42</f>
        <v>1500</v>
      </c>
      <c r="J43" s="412"/>
    </row>
    <row r="44" ht="13.5" thickBot="1"/>
    <row r="45" spans="1:10" ht="16.5" thickBot="1">
      <c r="A45" s="154"/>
      <c r="B45" s="138"/>
      <c r="C45" s="138"/>
      <c r="D45" s="138"/>
      <c r="E45" s="138"/>
      <c r="F45" s="168"/>
      <c r="G45" s="167"/>
      <c r="H45" s="599" t="s">
        <v>302</v>
      </c>
      <c r="I45" s="599"/>
      <c r="J45" s="599"/>
    </row>
    <row r="46" spans="1:10" ht="15.75">
      <c r="A46" s="600" t="s">
        <v>300</v>
      </c>
      <c r="B46" s="601"/>
      <c r="C46" s="601"/>
      <c r="D46" s="601"/>
      <c r="E46" s="601"/>
      <c r="F46" s="602"/>
      <c r="G46" s="141" t="s">
        <v>313</v>
      </c>
      <c r="H46" s="159" t="s">
        <v>314</v>
      </c>
      <c r="I46" s="139" t="s">
        <v>314</v>
      </c>
      <c r="J46" s="156" t="s">
        <v>314</v>
      </c>
    </row>
    <row r="47" spans="1:10" ht="15.75">
      <c r="A47" s="600" t="s">
        <v>301</v>
      </c>
      <c r="B47" s="601"/>
      <c r="C47" s="601"/>
      <c r="D47" s="601"/>
      <c r="E47" s="601"/>
      <c r="F47" s="602"/>
      <c r="G47" s="141" t="s">
        <v>225</v>
      </c>
      <c r="H47" s="160" t="s">
        <v>315</v>
      </c>
      <c r="I47" s="141" t="s">
        <v>317</v>
      </c>
      <c r="J47" s="157" t="s">
        <v>318</v>
      </c>
    </row>
    <row r="48" spans="1:10" ht="12.75">
      <c r="A48" s="116"/>
      <c r="B48" s="117"/>
      <c r="C48" s="117"/>
      <c r="D48" s="117"/>
      <c r="E48" s="117"/>
      <c r="F48" s="169"/>
      <c r="G48" s="142"/>
      <c r="H48" s="161" t="s">
        <v>316</v>
      </c>
      <c r="I48" s="142"/>
      <c r="J48" s="158" t="s">
        <v>319</v>
      </c>
    </row>
    <row r="49" spans="1:10" ht="12.75">
      <c r="A49" s="145" t="s">
        <v>284</v>
      </c>
      <c r="B49" s="149" t="s">
        <v>274</v>
      </c>
      <c r="C49" s="144"/>
      <c r="D49" s="144"/>
      <c r="E49" s="144"/>
      <c r="F49" s="123"/>
      <c r="G49" s="405"/>
      <c r="H49" s="405"/>
      <c r="I49" s="406"/>
      <c r="J49" s="407"/>
    </row>
    <row r="50" spans="1:10" ht="12.75">
      <c r="A50" s="148" t="s">
        <v>230</v>
      </c>
      <c r="B50" s="153" t="s">
        <v>232</v>
      </c>
      <c r="C50" s="146"/>
      <c r="D50" s="146"/>
      <c r="E50" s="146"/>
      <c r="F50" s="125"/>
      <c r="G50" s="404"/>
      <c r="H50" s="404"/>
      <c r="I50" s="408"/>
      <c r="J50" s="409"/>
    </row>
    <row r="51" spans="1:10" ht="12.75">
      <c r="A51" s="150"/>
      <c r="B51" s="147" t="s">
        <v>233</v>
      </c>
      <c r="C51" s="147"/>
      <c r="D51" s="147"/>
      <c r="E51" s="147"/>
      <c r="F51" s="111"/>
      <c r="G51" s="281"/>
      <c r="H51" s="281"/>
      <c r="I51" s="418"/>
      <c r="J51" s="365"/>
    </row>
    <row r="52" spans="1:10" ht="12.75">
      <c r="A52" s="151"/>
      <c r="B52" s="147" t="s">
        <v>234</v>
      </c>
      <c r="C52" s="147"/>
      <c r="D52" s="147"/>
      <c r="E52" s="147"/>
      <c r="F52" s="111"/>
      <c r="G52" s="281"/>
      <c r="H52" s="281"/>
      <c r="I52" s="418"/>
      <c r="J52" s="365"/>
    </row>
    <row r="53" spans="1:10" ht="12.75">
      <c r="A53" s="151"/>
      <c r="B53" s="147" t="s">
        <v>303</v>
      </c>
      <c r="C53" s="147"/>
      <c r="D53" s="147"/>
      <c r="E53" s="147"/>
      <c r="F53" s="111"/>
      <c r="G53" s="281"/>
      <c r="H53" s="281"/>
      <c r="I53" s="418"/>
      <c r="J53" s="365"/>
    </row>
    <row r="54" spans="1:10" ht="12.75">
      <c r="A54" s="151"/>
      <c r="B54" s="147" t="s">
        <v>304</v>
      </c>
      <c r="C54" s="147"/>
      <c r="D54" s="147"/>
      <c r="E54" s="147"/>
      <c r="F54" s="111"/>
      <c r="G54" s="281"/>
      <c r="H54" s="281"/>
      <c r="I54" s="418"/>
      <c r="J54" s="365"/>
    </row>
    <row r="55" spans="1:10" ht="12.75">
      <c r="A55" s="151"/>
      <c r="B55" s="147" t="s">
        <v>237</v>
      </c>
      <c r="C55" s="147"/>
      <c r="D55" s="147"/>
      <c r="E55" s="147"/>
      <c r="F55" s="111"/>
      <c r="G55" s="281"/>
      <c r="H55" s="281"/>
      <c r="I55" s="418"/>
      <c r="J55" s="365"/>
    </row>
    <row r="56" spans="1:10" ht="12.75">
      <c r="A56" s="151" t="s">
        <v>284</v>
      </c>
      <c r="B56" s="147" t="s">
        <v>238</v>
      </c>
      <c r="C56" s="147"/>
      <c r="D56" s="147"/>
      <c r="E56" s="147"/>
      <c r="F56" s="111"/>
      <c r="G56" s="281">
        <f>'Comptab.'!G44</f>
        <v>6256</v>
      </c>
      <c r="H56" s="281"/>
      <c r="I56" s="418">
        <f>G56</f>
        <v>6256</v>
      </c>
      <c r="J56" s="365"/>
    </row>
    <row r="57" spans="1:10" ht="12.75">
      <c r="A57" s="151" t="s">
        <v>239</v>
      </c>
      <c r="B57" s="147" t="s">
        <v>240</v>
      </c>
      <c r="C57" s="147"/>
      <c r="D57" s="147"/>
      <c r="E57" s="147"/>
      <c r="F57" s="111"/>
      <c r="G57" s="281"/>
      <c r="H57" s="281"/>
      <c r="I57" s="418"/>
      <c r="J57" s="365"/>
    </row>
    <row r="58" spans="1:10" ht="12.75">
      <c r="A58" s="151"/>
      <c r="B58" s="147" t="s">
        <v>305</v>
      </c>
      <c r="C58" s="147"/>
      <c r="D58" s="147"/>
      <c r="E58" s="147"/>
      <c r="F58" s="111"/>
      <c r="G58" s="281"/>
      <c r="H58" s="281"/>
      <c r="I58" s="418"/>
      <c r="J58" s="365"/>
    </row>
    <row r="59" spans="1:10" ht="12.75">
      <c r="A59" s="151"/>
      <c r="B59" s="147" t="s">
        <v>306</v>
      </c>
      <c r="C59" s="147"/>
      <c r="D59" s="147"/>
      <c r="E59" s="147"/>
      <c r="F59" s="111"/>
      <c r="G59" s="281"/>
      <c r="H59" s="281"/>
      <c r="I59" s="418"/>
      <c r="J59" s="365"/>
    </row>
    <row r="60" spans="1:10" ht="12.75">
      <c r="A60" s="151"/>
      <c r="B60" s="147" t="s">
        <v>307</v>
      </c>
      <c r="C60" s="147"/>
      <c r="D60" s="147"/>
      <c r="E60" s="147"/>
      <c r="F60" s="111"/>
      <c r="G60" s="281"/>
      <c r="H60" s="281"/>
      <c r="I60" s="418"/>
      <c r="J60" s="365"/>
    </row>
    <row r="61" spans="1:10" ht="12.75">
      <c r="A61" s="152"/>
      <c r="B61" s="147" t="s">
        <v>308</v>
      </c>
      <c r="C61" s="147"/>
      <c r="D61" s="147"/>
      <c r="E61" s="147"/>
      <c r="F61" s="111"/>
      <c r="G61" s="281"/>
      <c r="H61" s="281"/>
      <c r="I61" s="418"/>
      <c r="J61" s="365"/>
    </row>
    <row r="62" spans="1:10" ht="12.75">
      <c r="A62" s="127"/>
      <c r="B62" s="128"/>
      <c r="C62" s="128"/>
      <c r="D62" s="128"/>
      <c r="E62" s="597" t="s">
        <v>231</v>
      </c>
      <c r="F62" s="598"/>
      <c r="G62" s="283">
        <f>SUM(G51:G61)</f>
        <v>6256</v>
      </c>
      <c r="H62" s="283"/>
      <c r="I62" s="413">
        <f>SUM(I51:I61)</f>
        <v>6256</v>
      </c>
      <c r="J62" s="414"/>
    </row>
    <row r="63" spans="1:10" ht="15" thickBot="1">
      <c r="A63" s="131"/>
      <c r="B63" s="132"/>
      <c r="C63" s="132"/>
      <c r="D63" s="132"/>
      <c r="E63" s="588" t="s">
        <v>251</v>
      </c>
      <c r="F63" s="589"/>
      <c r="G63" s="339">
        <f>G49+G50+G62</f>
        <v>6256</v>
      </c>
      <c r="H63" s="339"/>
      <c r="I63" s="339">
        <f>I49+I50+I62</f>
        <v>6256</v>
      </c>
      <c r="J63" s="412"/>
    </row>
  </sheetData>
  <mergeCells count="13">
    <mergeCell ref="C43:E43"/>
    <mergeCell ref="G25:J25"/>
    <mergeCell ref="A27:E27"/>
    <mergeCell ref="A26:E26"/>
    <mergeCell ref="A1:J1"/>
    <mergeCell ref="A5:F5"/>
    <mergeCell ref="E21:F21"/>
    <mergeCell ref="E22:F22"/>
    <mergeCell ref="E62:F62"/>
    <mergeCell ref="E63:F63"/>
    <mergeCell ref="H45:J45"/>
    <mergeCell ref="A46:F46"/>
    <mergeCell ref="A47:F47"/>
  </mergeCells>
  <printOptions/>
  <pageMargins left="0.3937007874015748" right="0.3937007874015748" top="0.5905511811023623" bottom="0.5905511811023623" header="0.31496062992125984" footer="0.31496062992125984"/>
  <pageSetup fitToHeight="1" fitToWidth="1" orientation="portrait" paperSize="9" scale="85" r:id="rId1"/>
  <headerFooter alignWithMargins="0">
    <oddFooter>&amp;R&amp;"Arial,Italique"&amp;8 10 -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F40" sqref="F40"/>
    </sheetView>
  </sheetViews>
  <sheetFormatPr defaultColWidth="11.421875" defaultRowHeight="12.75"/>
  <cols>
    <col min="6" max="6" width="11.8515625" style="0" customWidth="1"/>
    <col min="7" max="7" width="12.28125" style="0" customWidth="1"/>
    <col min="8" max="8" width="12.7109375" style="0" customWidth="1"/>
    <col min="9" max="9" width="12.28125" style="0" customWidth="1"/>
  </cols>
  <sheetData>
    <row r="1" spans="1:9" ht="15.75">
      <c r="A1" s="601" t="s">
        <v>322</v>
      </c>
      <c r="B1" s="601"/>
      <c r="C1" s="601"/>
      <c r="D1" s="601"/>
      <c r="E1" s="601"/>
      <c r="F1" s="601"/>
      <c r="G1" s="601"/>
      <c r="H1" s="601"/>
      <c r="I1" s="601"/>
    </row>
    <row r="2" spans="1:9" ht="13.5" thickBot="1">
      <c r="A2" s="612" t="s">
        <v>321</v>
      </c>
      <c r="B2" s="612"/>
      <c r="C2" s="612"/>
      <c r="D2" s="612"/>
      <c r="E2" s="612"/>
      <c r="F2" s="612"/>
      <c r="G2" s="612"/>
      <c r="H2" s="612"/>
      <c r="I2" s="612"/>
    </row>
    <row r="3" spans="1:9" ht="13.5" thickBot="1">
      <c r="A3" s="178"/>
      <c r="B3" s="178"/>
      <c r="C3" s="178"/>
      <c r="D3" s="178"/>
      <c r="E3" s="179"/>
      <c r="F3" s="176" t="s">
        <v>280</v>
      </c>
      <c r="G3" s="176" t="s">
        <v>281</v>
      </c>
      <c r="H3" s="176" t="s">
        <v>282</v>
      </c>
      <c r="I3" s="177" t="s">
        <v>283</v>
      </c>
    </row>
    <row r="4" spans="1:9" ht="15.75">
      <c r="A4" s="600" t="s">
        <v>279</v>
      </c>
      <c r="B4" s="601"/>
      <c r="C4" s="601"/>
      <c r="D4" s="601"/>
      <c r="E4" s="602"/>
      <c r="F4" s="139" t="s">
        <v>255</v>
      </c>
      <c r="G4" s="139" t="s">
        <v>223</v>
      </c>
      <c r="H4" s="139" t="s">
        <v>224</v>
      </c>
      <c r="I4" s="156" t="s">
        <v>255</v>
      </c>
    </row>
    <row r="5" spans="1:9" ht="12.75">
      <c r="A5" s="110"/>
      <c r="B5" s="111"/>
      <c r="C5" s="111"/>
      <c r="D5" s="111"/>
      <c r="E5" s="111"/>
      <c r="F5" s="141" t="s">
        <v>256</v>
      </c>
      <c r="G5" s="141" t="s">
        <v>254</v>
      </c>
      <c r="H5" s="141" t="s">
        <v>257</v>
      </c>
      <c r="I5" s="157" t="s">
        <v>258</v>
      </c>
    </row>
    <row r="6" spans="1:9" ht="12.75">
      <c r="A6" s="116"/>
      <c r="B6" s="117"/>
      <c r="C6" s="117"/>
      <c r="D6" s="117"/>
      <c r="E6" s="117"/>
      <c r="F6" s="142" t="s">
        <v>225</v>
      </c>
      <c r="G6" s="142" t="s">
        <v>225</v>
      </c>
      <c r="H6" s="142" t="s">
        <v>225</v>
      </c>
      <c r="I6" s="158" t="s">
        <v>225</v>
      </c>
    </row>
    <row r="7" spans="1:9" ht="12.75">
      <c r="A7" s="133" t="s">
        <v>255</v>
      </c>
      <c r="B7" s="111"/>
      <c r="C7" s="111"/>
      <c r="D7" s="111"/>
      <c r="E7" s="111"/>
      <c r="F7" s="281"/>
      <c r="G7" s="281"/>
      <c r="H7" s="281"/>
      <c r="I7" s="378"/>
    </row>
    <row r="8" spans="1:9" ht="12.75">
      <c r="A8" s="126"/>
      <c r="B8" s="111" t="s">
        <v>259</v>
      </c>
      <c r="C8" s="111"/>
      <c r="D8" s="111"/>
      <c r="E8" s="111"/>
      <c r="F8" s="281"/>
      <c r="G8" s="281"/>
      <c r="H8" s="281"/>
      <c r="I8" s="378"/>
    </row>
    <row r="9" spans="1:9" ht="12.75">
      <c r="A9" s="126"/>
      <c r="B9" s="111" t="s">
        <v>260</v>
      </c>
      <c r="C9" s="111"/>
      <c r="D9" s="111"/>
      <c r="E9" s="111"/>
      <c r="F9" s="281">
        <f>'Comptab.'!H6</f>
        <v>1140</v>
      </c>
      <c r="G9" s="281"/>
      <c r="H9" s="281"/>
      <c r="I9" s="378">
        <f aca="true" t="shared" si="0" ref="I9:I14">F9+G9-H9</f>
        <v>1140</v>
      </c>
    </row>
    <row r="10" spans="1:9" ht="12.75">
      <c r="A10" s="126"/>
      <c r="B10" s="111" t="s">
        <v>261</v>
      </c>
      <c r="C10" s="111"/>
      <c r="D10" s="111"/>
      <c r="E10" s="111"/>
      <c r="F10" s="281"/>
      <c r="G10" s="281"/>
      <c r="H10" s="281"/>
      <c r="I10" s="378"/>
    </row>
    <row r="11" spans="1:9" ht="12.75">
      <c r="A11" s="126"/>
      <c r="B11" s="111"/>
      <c r="C11" s="111" t="s">
        <v>262</v>
      </c>
      <c r="D11" s="111"/>
      <c r="E11" s="111"/>
      <c r="F11" s="281"/>
      <c r="G11" s="281"/>
      <c r="H11" s="281"/>
      <c r="I11" s="378"/>
    </row>
    <row r="12" spans="1:9" ht="12.75">
      <c r="A12" s="126"/>
      <c r="B12" s="111"/>
      <c r="C12" s="111" t="s">
        <v>263</v>
      </c>
      <c r="D12" s="111"/>
      <c r="E12" s="111"/>
      <c r="F12" s="281"/>
      <c r="G12" s="281"/>
      <c r="H12" s="281"/>
      <c r="I12" s="378"/>
    </row>
    <row r="13" spans="1:9" ht="12.75">
      <c r="A13" s="126"/>
      <c r="B13" s="111" t="s">
        <v>264</v>
      </c>
      <c r="C13" s="111"/>
      <c r="D13" s="111"/>
      <c r="E13" s="111"/>
      <c r="F13" s="281">
        <f>'Bal. av. invent.'!D39</f>
        <v>1750</v>
      </c>
      <c r="G13" s="281">
        <f>'Comptab.'!H62</f>
        <v>1200</v>
      </c>
      <c r="H13" s="281">
        <f>'Comptab.'!G65</f>
        <v>1750</v>
      </c>
      <c r="I13" s="378">
        <f t="shared" si="0"/>
        <v>1200</v>
      </c>
    </row>
    <row r="14" spans="1:9" ht="12.75">
      <c r="A14" s="126"/>
      <c r="B14" s="111" t="s">
        <v>265</v>
      </c>
      <c r="C14" s="111"/>
      <c r="D14" s="111"/>
      <c r="E14" s="111"/>
      <c r="F14" s="281"/>
      <c r="G14" s="281">
        <f>'Comptab.'!H63</f>
        <v>6093</v>
      </c>
      <c r="H14" s="281"/>
      <c r="I14" s="378">
        <f t="shared" si="0"/>
        <v>6093</v>
      </c>
    </row>
    <row r="15" spans="1:9" ht="15" thickBot="1">
      <c r="A15" s="131"/>
      <c r="B15" s="132"/>
      <c r="C15" s="132"/>
      <c r="D15" s="588" t="s">
        <v>266</v>
      </c>
      <c r="E15" s="588"/>
      <c r="F15" s="336">
        <f>SUM(F8:F14)</f>
        <v>2890</v>
      </c>
      <c r="G15" s="336">
        <f>SUM(G8:G14)</f>
        <v>7293</v>
      </c>
      <c r="H15" s="336">
        <f>SUM(H8:H14)</f>
        <v>1750</v>
      </c>
      <c r="I15" s="338">
        <f>SUM(I8:I14)</f>
        <v>8433</v>
      </c>
    </row>
    <row r="17" spans="1:9" ht="15.75">
      <c r="A17" s="601" t="s">
        <v>324</v>
      </c>
      <c r="B17" s="601"/>
      <c r="C17" s="601"/>
      <c r="D17" s="601"/>
      <c r="E17" s="601"/>
      <c r="F17" s="601"/>
      <c r="G17" s="601"/>
      <c r="H17" s="601"/>
      <c r="I17" s="601"/>
    </row>
    <row r="18" spans="1:9" ht="16.5" thickBot="1">
      <c r="A18" s="135"/>
      <c r="B18" s="135"/>
      <c r="C18" s="135"/>
      <c r="D18" s="135"/>
      <c r="E18" s="143" t="s">
        <v>285</v>
      </c>
      <c r="F18" s="135"/>
      <c r="G18" s="135"/>
      <c r="H18" s="135"/>
      <c r="I18" s="137" t="s">
        <v>323</v>
      </c>
    </row>
    <row r="19" spans="1:9" ht="12.75">
      <c r="A19" s="591"/>
      <c r="B19" s="592"/>
      <c r="C19" s="592"/>
      <c r="D19" s="592"/>
      <c r="E19" s="592"/>
      <c r="F19" s="139" t="s">
        <v>255</v>
      </c>
      <c r="G19" s="139" t="s">
        <v>223</v>
      </c>
      <c r="H19" s="139" t="s">
        <v>224</v>
      </c>
      <c r="I19" s="156" t="s">
        <v>255</v>
      </c>
    </row>
    <row r="20" spans="1:9" ht="15.75">
      <c r="A20" s="600" t="s">
        <v>279</v>
      </c>
      <c r="B20" s="601"/>
      <c r="C20" s="601"/>
      <c r="D20" s="601"/>
      <c r="E20" s="602"/>
      <c r="F20" s="141" t="s">
        <v>256</v>
      </c>
      <c r="G20" s="141" t="s">
        <v>254</v>
      </c>
      <c r="H20" s="141" t="s">
        <v>257</v>
      </c>
      <c r="I20" s="157" t="s">
        <v>258</v>
      </c>
    </row>
    <row r="21" spans="1:9" ht="12.75">
      <c r="A21" s="116"/>
      <c r="B21" s="117"/>
      <c r="C21" s="117"/>
      <c r="D21" s="117"/>
      <c r="E21" s="117"/>
      <c r="F21" s="142" t="s">
        <v>225</v>
      </c>
      <c r="G21" s="142" t="s">
        <v>225</v>
      </c>
      <c r="H21" s="142" t="s">
        <v>225</v>
      </c>
      <c r="I21" s="158" t="s">
        <v>225</v>
      </c>
    </row>
    <row r="22" spans="1:9" ht="12.75">
      <c r="A22" s="134" t="s">
        <v>267</v>
      </c>
      <c r="B22" s="111"/>
      <c r="C22" s="111"/>
      <c r="D22" s="111"/>
      <c r="E22" s="111"/>
      <c r="F22" s="281"/>
      <c r="G22" s="281"/>
      <c r="H22" s="281"/>
      <c r="I22" s="378"/>
    </row>
    <row r="23" spans="1:9" ht="12.75">
      <c r="A23" s="126"/>
      <c r="B23" s="111" t="s">
        <v>268</v>
      </c>
      <c r="C23" s="111"/>
      <c r="D23" s="111"/>
      <c r="E23" s="111"/>
      <c r="F23" s="281"/>
      <c r="G23" s="281"/>
      <c r="H23" s="281"/>
      <c r="I23" s="378"/>
    </row>
    <row r="24" spans="1:9" ht="12.75">
      <c r="A24" s="126"/>
      <c r="B24" s="111" t="s">
        <v>269</v>
      </c>
      <c r="C24" s="111"/>
      <c r="D24" s="111"/>
      <c r="E24" s="111"/>
      <c r="F24" s="281">
        <f>'Bal. av. invent.'!D9</f>
        <v>6272.311111111112</v>
      </c>
      <c r="G24" s="281">
        <f>'Comptab.'!H75</f>
        <v>3487.92</v>
      </c>
      <c r="H24" s="281">
        <f>'Comptab.'!G77</f>
        <v>1866.88</v>
      </c>
      <c r="I24" s="378">
        <f>F24+G24-H24</f>
        <v>7893.351111111112</v>
      </c>
    </row>
    <row r="25" spans="1:9" ht="12.75">
      <c r="A25" s="134" t="s">
        <v>325</v>
      </c>
      <c r="B25" s="111"/>
      <c r="C25" s="111"/>
      <c r="D25" s="111"/>
      <c r="E25" s="111"/>
      <c r="F25" s="281"/>
      <c r="G25" s="281"/>
      <c r="H25" s="281"/>
      <c r="I25" s="378"/>
    </row>
    <row r="26" spans="1:9" ht="12.75">
      <c r="A26" s="126"/>
      <c r="B26" s="111" t="s">
        <v>270</v>
      </c>
      <c r="C26" s="111"/>
      <c r="D26" s="111"/>
      <c r="E26" s="111"/>
      <c r="F26" s="281">
        <f>'Bal. av. invent.'!D10</f>
        <v>3750</v>
      </c>
      <c r="G26" s="281">
        <f>'Comptab.'!H72</f>
        <v>7500</v>
      </c>
      <c r="H26" s="281"/>
      <c r="I26" s="378">
        <f>F26+G26-H26</f>
        <v>11250</v>
      </c>
    </row>
    <row r="27" spans="1:9" ht="12.75">
      <c r="A27" s="126"/>
      <c r="B27" s="111" t="s">
        <v>271</v>
      </c>
      <c r="C27" s="111"/>
      <c r="D27" s="111"/>
      <c r="E27" s="111"/>
      <c r="F27" s="281"/>
      <c r="G27" s="281"/>
      <c r="H27" s="281"/>
      <c r="I27" s="378"/>
    </row>
    <row r="28" spans="1:9" ht="12.75">
      <c r="A28" s="126"/>
      <c r="B28" s="111" t="s">
        <v>272</v>
      </c>
      <c r="C28" s="111"/>
      <c r="D28" s="111"/>
      <c r="E28" s="111"/>
      <c r="F28" s="281"/>
      <c r="G28" s="281"/>
      <c r="H28" s="281"/>
      <c r="I28" s="378"/>
    </row>
    <row r="29" spans="1:9" ht="12.75">
      <c r="A29" s="134" t="s">
        <v>326</v>
      </c>
      <c r="B29" s="111"/>
      <c r="C29" s="111"/>
      <c r="D29" s="111"/>
      <c r="E29" s="111"/>
      <c r="F29" s="281"/>
      <c r="G29" s="281"/>
      <c r="H29" s="281"/>
      <c r="I29" s="378"/>
    </row>
    <row r="30" spans="1:9" ht="12.75">
      <c r="A30" s="126"/>
      <c r="B30" s="111" t="s">
        <v>332</v>
      </c>
      <c r="C30" s="111"/>
      <c r="D30" s="111"/>
      <c r="E30" s="111"/>
      <c r="F30" s="281"/>
      <c r="G30" s="281"/>
      <c r="H30" s="281"/>
      <c r="I30" s="378"/>
    </row>
    <row r="31" spans="1:9" ht="15" thickBot="1">
      <c r="A31" s="131"/>
      <c r="B31" s="132"/>
      <c r="C31" s="132"/>
      <c r="D31" s="588" t="s">
        <v>266</v>
      </c>
      <c r="E31" s="588"/>
      <c r="F31" s="336">
        <f>SUM(F24:F30)</f>
        <v>10022.311111111112</v>
      </c>
      <c r="G31" s="336">
        <f>SUM(G24:G30)</f>
        <v>10987.92</v>
      </c>
      <c r="H31" s="336">
        <f>SUM(H24:H30)</f>
        <v>1866.88</v>
      </c>
      <c r="I31" s="338">
        <f>SUM(I24:I30)</f>
        <v>19143.35111111111</v>
      </c>
    </row>
    <row r="33" spans="1:9" ht="16.5" thickBot="1">
      <c r="A33" s="135"/>
      <c r="B33" s="135"/>
      <c r="C33" s="135"/>
      <c r="D33" s="135"/>
      <c r="E33" s="143" t="s">
        <v>286</v>
      </c>
      <c r="F33" s="135"/>
      <c r="G33" s="135"/>
      <c r="H33" s="135"/>
      <c r="I33" s="137"/>
    </row>
    <row r="34" spans="1:9" ht="15.75">
      <c r="A34" s="609" t="s">
        <v>298</v>
      </c>
      <c r="B34" s="610"/>
      <c r="C34" s="610"/>
      <c r="D34" s="610"/>
      <c r="E34" s="611"/>
      <c r="F34" s="139" t="s">
        <v>287</v>
      </c>
      <c r="G34" s="606" t="s">
        <v>297</v>
      </c>
      <c r="H34" s="607"/>
      <c r="I34" s="608"/>
    </row>
    <row r="35" spans="1:9" ht="15.75">
      <c r="A35" s="600" t="s">
        <v>299</v>
      </c>
      <c r="B35" s="601"/>
      <c r="C35" s="601"/>
      <c r="D35" s="601"/>
      <c r="E35" s="601"/>
      <c r="F35" s="141" t="s">
        <v>225</v>
      </c>
      <c r="G35" s="141" t="s">
        <v>327</v>
      </c>
      <c r="H35" s="141" t="s">
        <v>328</v>
      </c>
      <c r="I35" s="157" t="s">
        <v>329</v>
      </c>
    </row>
    <row r="36" spans="1:9" ht="12.75">
      <c r="A36" s="173" t="s">
        <v>267</v>
      </c>
      <c r="B36" s="122"/>
      <c r="C36" s="122"/>
      <c r="D36" s="122"/>
      <c r="E36" s="122"/>
      <c r="F36" s="306"/>
      <c r="G36" s="306"/>
      <c r="H36" s="306"/>
      <c r="I36" s="419"/>
    </row>
    <row r="37" spans="1:9" ht="12.75">
      <c r="A37" s="126"/>
      <c r="B37" s="111" t="s">
        <v>268</v>
      </c>
      <c r="C37" s="111"/>
      <c r="D37" s="111"/>
      <c r="E37" s="111"/>
      <c r="F37" s="281"/>
      <c r="G37" s="281"/>
      <c r="H37" s="281"/>
      <c r="I37" s="378"/>
    </row>
    <row r="38" spans="1:9" ht="12.75">
      <c r="A38" s="126"/>
      <c r="B38" s="111" t="s">
        <v>269</v>
      </c>
      <c r="C38" s="111"/>
      <c r="D38" s="111"/>
      <c r="E38" s="111"/>
      <c r="F38" s="281">
        <f>G24</f>
        <v>3487.92</v>
      </c>
      <c r="G38" s="281"/>
      <c r="H38" s="281"/>
      <c r="I38" s="378">
        <f>F38</f>
        <v>3487.92</v>
      </c>
    </row>
    <row r="39" spans="1:9" ht="12.75">
      <c r="A39" s="134" t="s">
        <v>325</v>
      </c>
      <c r="B39" s="111"/>
      <c r="C39" s="111"/>
      <c r="D39" s="111"/>
      <c r="E39" s="111"/>
      <c r="F39" s="281"/>
      <c r="G39" s="281"/>
      <c r="H39" s="281"/>
      <c r="I39" s="378"/>
    </row>
    <row r="40" spans="1:9" ht="12.75">
      <c r="A40" s="126"/>
      <c r="B40" s="111" t="s">
        <v>270</v>
      </c>
      <c r="C40" s="111"/>
      <c r="D40" s="111"/>
      <c r="E40" s="111"/>
      <c r="F40" s="281">
        <f>G26</f>
        <v>7500</v>
      </c>
      <c r="G40" s="281">
        <f>F40</f>
        <v>7500</v>
      </c>
      <c r="H40" s="281"/>
      <c r="I40" s="378"/>
    </row>
    <row r="41" spans="1:9" ht="12.75">
      <c r="A41" s="134" t="s">
        <v>326</v>
      </c>
      <c r="B41" s="111"/>
      <c r="C41" s="111"/>
      <c r="D41" s="111"/>
      <c r="E41" s="111"/>
      <c r="F41" s="281"/>
      <c r="G41" s="281"/>
      <c r="H41" s="281"/>
      <c r="I41" s="378"/>
    </row>
    <row r="42" spans="1:9" ht="12.75">
      <c r="A42" s="126"/>
      <c r="B42" s="111" t="s">
        <v>271</v>
      </c>
      <c r="C42" s="111"/>
      <c r="D42" s="111"/>
      <c r="E42" s="111"/>
      <c r="F42" s="281"/>
      <c r="G42" s="281"/>
      <c r="H42" s="281"/>
      <c r="I42" s="378"/>
    </row>
    <row r="43" spans="1:9" ht="12.75">
      <c r="A43" s="126"/>
      <c r="B43" s="111" t="s">
        <v>272</v>
      </c>
      <c r="C43" s="111"/>
      <c r="D43" s="111"/>
      <c r="E43" s="111"/>
      <c r="F43" s="281"/>
      <c r="G43" s="281"/>
      <c r="H43" s="281"/>
      <c r="I43" s="378"/>
    </row>
    <row r="44" spans="1:9" ht="12.75">
      <c r="A44" s="126"/>
      <c r="B44" s="111" t="s">
        <v>273</v>
      </c>
      <c r="C44" s="111"/>
      <c r="D44" s="111"/>
      <c r="E44" s="111"/>
      <c r="F44" s="281"/>
      <c r="G44" s="281"/>
      <c r="H44" s="281"/>
      <c r="I44" s="378"/>
    </row>
    <row r="45" spans="1:9" ht="15" thickBot="1">
      <c r="A45" s="131"/>
      <c r="B45" s="132"/>
      <c r="C45" s="132"/>
      <c r="D45" s="588" t="s">
        <v>266</v>
      </c>
      <c r="E45" s="588"/>
      <c r="F45" s="336">
        <f>SUM(F37:F44)</f>
        <v>10987.92</v>
      </c>
      <c r="G45" s="336">
        <f>SUM(G37:G44)</f>
        <v>7500</v>
      </c>
      <c r="H45" s="336"/>
      <c r="I45" s="338">
        <f>SUM(I37:I44)</f>
        <v>3487.92</v>
      </c>
    </row>
    <row r="46" ht="14.25" customHeight="1" thickBot="1"/>
    <row r="47" spans="1:9" ht="15.75">
      <c r="A47" s="609" t="s">
        <v>300</v>
      </c>
      <c r="B47" s="610"/>
      <c r="C47" s="610"/>
      <c r="D47" s="610"/>
      <c r="E47" s="611"/>
      <c r="F47" s="139" t="s">
        <v>330</v>
      </c>
      <c r="G47" s="606" t="s">
        <v>331</v>
      </c>
      <c r="H47" s="607"/>
      <c r="I47" s="608"/>
    </row>
    <row r="48" spans="1:9" ht="15.75">
      <c r="A48" s="600" t="s">
        <v>301</v>
      </c>
      <c r="B48" s="601"/>
      <c r="C48" s="601"/>
      <c r="D48" s="601"/>
      <c r="E48" s="601"/>
      <c r="F48" s="141" t="s">
        <v>225</v>
      </c>
      <c r="G48" s="141" t="s">
        <v>327</v>
      </c>
      <c r="H48" s="141" t="s">
        <v>328</v>
      </c>
      <c r="I48" s="157" t="s">
        <v>329</v>
      </c>
    </row>
    <row r="49" spans="1:9" ht="12.75">
      <c r="A49" s="173" t="s">
        <v>267</v>
      </c>
      <c r="B49" s="122"/>
      <c r="C49" s="122"/>
      <c r="D49" s="122"/>
      <c r="E49" s="122"/>
      <c r="F49" s="174"/>
      <c r="G49" s="174"/>
      <c r="H49" s="174"/>
      <c r="I49" s="175"/>
    </row>
    <row r="50" spans="1:9" ht="12.75">
      <c r="A50" s="126"/>
      <c r="B50" s="111" t="s">
        <v>268</v>
      </c>
      <c r="C50" s="111"/>
      <c r="D50" s="111"/>
      <c r="E50" s="111"/>
      <c r="F50" s="281"/>
      <c r="G50" s="281"/>
      <c r="H50" s="281"/>
      <c r="I50" s="378"/>
    </row>
    <row r="51" spans="1:9" ht="12.75">
      <c r="A51" s="126"/>
      <c r="B51" s="111" t="s">
        <v>269</v>
      </c>
      <c r="C51" s="111"/>
      <c r="D51" s="111"/>
      <c r="E51" s="111"/>
      <c r="F51" s="281">
        <f>H24</f>
        <v>1866.88</v>
      </c>
      <c r="G51" s="281"/>
      <c r="H51" s="281"/>
      <c r="I51" s="378">
        <f>F51</f>
        <v>1866.88</v>
      </c>
    </row>
    <row r="52" spans="1:9" ht="12.75">
      <c r="A52" s="134" t="s">
        <v>325</v>
      </c>
      <c r="B52" s="111"/>
      <c r="C52" s="111"/>
      <c r="D52" s="111"/>
      <c r="E52" s="111"/>
      <c r="F52" s="281"/>
      <c r="G52" s="281"/>
      <c r="H52" s="281"/>
      <c r="I52" s="378"/>
    </row>
    <row r="53" spans="1:9" ht="12.75">
      <c r="A53" s="126"/>
      <c r="B53" s="111" t="s">
        <v>270</v>
      </c>
      <c r="C53" s="111"/>
      <c r="D53" s="111"/>
      <c r="E53" s="111"/>
      <c r="F53" s="281"/>
      <c r="G53" s="281"/>
      <c r="H53" s="281"/>
      <c r="I53" s="378"/>
    </row>
    <row r="54" spans="1:9" ht="12.75">
      <c r="A54" s="134" t="s">
        <v>326</v>
      </c>
      <c r="B54" s="111"/>
      <c r="C54" s="111"/>
      <c r="D54" s="111"/>
      <c r="E54" s="111"/>
      <c r="F54" s="281"/>
      <c r="G54" s="281"/>
      <c r="H54" s="281"/>
      <c r="I54" s="378"/>
    </row>
    <row r="55" spans="1:9" ht="12.75">
      <c r="A55" s="126"/>
      <c r="B55" s="111" t="s">
        <v>271</v>
      </c>
      <c r="C55" s="111"/>
      <c r="D55" s="111"/>
      <c r="E55" s="111"/>
      <c r="F55" s="281"/>
      <c r="G55" s="281"/>
      <c r="H55" s="281"/>
      <c r="I55" s="378"/>
    </row>
    <row r="56" spans="1:9" ht="12.75">
      <c r="A56" s="126"/>
      <c r="B56" s="111" t="s">
        <v>272</v>
      </c>
      <c r="C56" s="111"/>
      <c r="D56" s="111"/>
      <c r="E56" s="111"/>
      <c r="F56" s="281"/>
      <c r="G56" s="281"/>
      <c r="H56" s="281"/>
      <c r="I56" s="378"/>
    </row>
    <row r="57" spans="1:9" ht="12.75">
      <c r="A57" s="126"/>
      <c r="B57" s="111" t="s">
        <v>273</v>
      </c>
      <c r="C57" s="111"/>
      <c r="D57" s="111"/>
      <c r="E57" s="111"/>
      <c r="F57" s="281"/>
      <c r="G57" s="281"/>
      <c r="H57" s="281"/>
      <c r="I57" s="378"/>
    </row>
    <row r="58" spans="1:9" ht="15" thickBot="1">
      <c r="A58" s="131"/>
      <c r="B58" s="132"/>
      <c r="C58" s="132"/>
      <c r="D58" s="588" t="s">
        <v>266</v>
      </c>
      <c r="E58" s="588"/>
      <c r="F58" s="336">
        <f>SUM(F48:F54)</f>
        <v>1866.88</v>
      </c>
      <c r="G58" s="336"/>
      <c r="H58" s="336"/>
      <c r="I58" s="338">
        <f>SUM(I48:I54)</f>
        <v>1866.88</v>
      </c>
    </row>
  </sheetData>
  <mergeCells count="16">
    <mergeCell ref="A19:E19"/>
    <mergeCell ref="D31:E31"/>
    <mergeCell ref="A1:I1"/>
    <mergeCell ref="A20:E20"/>
    <mergeCell ref="A2:I2"/>
    <mergeCell ref="A4:E4"/>
    <mergeCell ref="D15:E15"/>
    <mergeCell ref="A17:I17"/>
    <mergeCell ref="D58:E58"/>
    <mergeCell ref="A35:E35"/>
    <mergeCell ref="A34:E34"/>
    <mergeCell ref="D45:E45"/>
    <mergeCell ref="G34:I34"/>
    <mergeCell ref="A47:E47"/>
    <mergeCell ref="G47:I47"/>
    <mergeCell ref="A48:E48"/>
  </mergeCells>
  <printOptions/>
  <pageMargins left="0.3937007874015748" right="0.3937007874015748" top="0.7874015748031497" bottom="0.5905511811023623" header="0.31496062992125984" footer="0.31496062992125984"/>
  <pageSetup fitToHeight="1" fitToWidth="1" orientation="portrait" paperSize="9" scale="91" r:id="rId1"/>
  <headerFooter alignWithMargins="0">
    <oddFooter>&amp;R&amp;"Arial,Italique"&amp;8 11 -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="75" zoomScaleNormal="75" workbookViewId="0" topLeftCell="A34">
      <selection activeCell="B7" sqref="B7"/>
    </sheetView>
  </sheetViews>
  <sheetFormatPr defaultColWidth="11.421875" defaultRowHeight="12.75"/>
  <cols>
    <col min="1" max="1" width="6.57421875" style="0" customWidth="1"/>
    <col min="2" max="2" width="38.7109375" style="0" customWidth="1"/>
    <col min="3" max="3" width="12.140625" style="0" customWidth="1"/>
    <col min="4" max="4" width="10.421875" style="0" customWidth="1"/>
    <col min="5" max="5" width="7.00390625" style="0" customWidth="1"/>
    <col min="6" max="6" width="6.140625" style="0" customWidth="1"/>
    <col min="7" max="7" width="13.421875" style="0" customWidth="1"/>
    <col min="8" max="8" width="7.7109375" style="0" customWidth="1"/>
    <col min="9" max="9" width="11.57421875" style="0" customWidth="1"/>
    <col min="10" max="10" width="7.00390625" style="0" customWidth="1"/>
    <col min="11" max="11" width="10.28125" style="0" customWidth="1"/>
    <col min="12" max="12" width="10.57421875" style="0" customWidth="1"/>
    <col min="13" max="13" width="10.140625" style="0" customWidth="1"/>
    <col min="14" max="14" width="10.421875" style="0" customWidth="1"/>
    <col min="15" max="15" width="11.140625" style="0" customWidth="1"/>
    <col min="16" max="16" width="10.8515625" style="0" customWidth="1"/>
    <col min="17" max="17" width="11.7109375" style="0" customWidth="1"/>
  </cols>
  <sheetData>
    <row r="1" spans="2:17" ht="18">
      <c r="B1" s="499" t="s">
        <v>606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2:17" ht="15.75">
      <c r="B2" s="476" t="s">
        <v>607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</row>
    <row r="3" ht="12.75">
      <c r="A3" t="s">
        <v>577</v>
      </c>
    </row>
    <row r="4" ht="12.75">
      <c r="A4" t="s">
        <v>684</v>
      </c>
    </row>
    <row r="5" spans="1:10" ht="15.75" thickBot="1">
      <c r="A5" t="s">
        <v>363</v>
      </c>
      <c r="G5" s="187" t="s">
        <v>364</v>
      </c>
      <c r="H5" s="188"/>
      <c r="I5" s="188"/>
      <c r="J5" s="188"/>
    </row>
    <row r="6" spans="2:17" ht="12.75">
      <c r="B6" s="189" t="s">
        <v>284</v>
      </c>
      <c r="C6" s="190" t="s">
        <v>365</v>
      </c>
      <c r="D6" s="190" t="s">
        <v>366</v>
      </c>
      <c r="E6" s="477" t="s">
        <v>367</v>
      </c>
      <c r="F6" s="478"/>
      <c r="G6" s="191" t="s">
        <v>368</v>
      </c>
      <c r="H6" s="477" t="s">
        <v>369</v>
      </c>
      <c r="I6" s="478"/>
      <c r="J6" s="477" t="s">
        <v>370</v>
      </c>
      <c r="K6" s="478"/>
      <c r="L6" s="192"/>
      <c r="M6" s="479" t="s">
        <v>371</v>
      </c>
      <c r="N6" s="479"/>
      <c r="O6" s="479"/>
      <c r="P6" s="479"/>
      <c r="Q6" s="193" t="s">
        <v>372</v>
      </c>
    </row>
    <row r="7" spans="2:17" ht="13.5" thickBot="1">
      <c r="B7" s="194"/>
      <c r="C7" s="195"/>
      <c r="D7" s="195"/>
      <c r="E7" s="196" t="s">
        <v>373</v>
      </c>
      <c r="F7" s="197"/>
      <c r="G7" s="198" t="s">
        <v>374</v>
      </c>
      <c r="H7" s="195" t="s">
        <v>375</v>
      </c>
      <c r="I7" s="195" t="s">
        <v>376</v>
      </c>
      <c r="J7" s="195" t="s">
        <v>375</v>
      </c>
      <c r="K7" s="195" t="s">
        <v>376</v>
      </c>
      <c r="L7" s="197">
        <v>2002</v>
      </c>
      <c r="M7" s="197">
        <f>L7+1</f>
        <v>2003</v>
      </c>
      <c r="N7" s="195">
        <f>M7+1</f>
        <v>2004</v>
      </c>
      <c r="O7" s="195">
        <f>N7+1</f>
        <v>2005</v>
      </c>
      <c r="P7" s="195">
        <f>O7+1</f>
        <v>2006</v>
      </c>
      <c r="Q7" s="199">
        <v>39082</v>
      </c>
    </row>
    <row r="8" spans="2:17" ht="12.75">
      <c r="B8" s="200" t="s">
        <v>377</v>
      </c>
      <c r="C8" s="205">
        <v>2130100</v>
      </c>
      <c r="D8" s="201">
        <v>490000</v>
      </c>
      <c r="E8" s="202" t="s">
        <v>378</v>
      </c>
      <c r="F8" s="203"/>
      <c r="G8" s="204" t="s">
        <v>378</v>
      </c>
      <c r="H8" s="205">
        <v>20</v>
      </c>
      <c r="I8" s="205" t="s">
        <v>379</v>
      </c>
      <c r="J8" s="205">
        <v>20</v>
      </c>
      <c r="K8" s="205" t="s">
        <v>379</v>
      </c>
      <c r="L8" s="201">
        <f>$D8/$H8</f>
        <v>24500</v>
      </c>
      <c r="M8" s="206">
        <f>(D8/H8)</f>
        <v>24500</v>
      </c>
      <c r="N8" s="201">
        <f>$D8/$H8</f>
        <v>24500</v>
      </c>
      <c r="O8" s="201">
        <f>(I32-J37)/17</f>
        <v>24500</v>
      </c>
      <c r="P8" s="201">
        <f>O8</f>
        <v>24500</v>
      </c>
      <c r="Q8" s="207">
        <f>SUM(L8:P8)</f>
        <v>122500</v>
      </c>
    </row>
    <row r="9" spans="2:17" ht="12.75">
      <c r="B9" s="208" t="s">
        <v>380</v>
      </c>
      <c r="C9" s="6">
        <v>2130520</v>
      </c>
      <c r="D9" s="38">
        <v>70000</v>
      </c>
      <c r="E9" s="209" t="s">
        <v>378</v>
      </c>
      <c r="F9" s="210"/>
      <c r="G9" s="211" t="s">
        <v>378</v>
      </c>
      <c r="H9" s="6">
        <v>10</v>
      </c>
      <c r="I9" s="6" t="s">
        <v>379</v>
      </c>
      <c r="J9" s="6">
        <v>10</v>
      </c>
      <c r="K9" s="6" t="s">
        <v>379</v>
      </c>
      <c r="L9" s="38">
        <f>$D9/$H8</f>
        <v>3500</v>
      </c>
      <c r="M9" s="212">
        <f>(D9/H8)</f>
        <v>3500</v>
      </c>
      <c r="N9" s="38">
        <f>$D9/$H8</f>
        <v>3500</v>
      </c>
      <c r="O9" s="38">
        <f>(I33-J38)/7</f>
        <v>8500</v>
      </c>
      <c r="P9" s="38">
        <f>O9</f>
        <v>8500</v>
      </c>
      <c r="Q9" s="70">
        <f>SUM(L9:P9)</f>
        <v>27500</v>
      </c>
    </row>
    <row r="10" spans="2:17" ht="12.75">
      <c r="B10" s="213" t="s">
        <v>338</v>
      </c>
      <c r="C10" s="214">
        <v>2151100</v>
      </c>
      <c r="D10" s="35">
        <v>19800</v>
      </c>
      <c r="E10" s="492">
        <v>37688</v>
      </c>
      <c r="F10" s="493"/>
      <c r="G10" s="215">
        <v>37695</v>
      </c>
      <c r="H10" s="214">
        <v>12</v>
      </c>
      <c r="I10" s="214" t="s">
        <v>379</v>
      </c>
      <c r="J10" s="216"/>
      <c r="K10" s="214"/>
      <c r="L10" s="216"/>
      <c r="M10" s="217">
        <f>(D10/H10)*285/360</f>
        <v>1306.25</v>
      </c>
      <c r="N10" s="35">
        <f aca="true" t="shared" si="0" ref="N10:P12">$D10/$H10</f>
        <v>1650</v>
      </c>
      <c r="O10" s="35">
        <f t="shared" si="0"/>
        <v>1650</v>
      </c>
      <c r="P10" s="35">
        <f t="shared" si="0"/>
        <v>1650</v>
      </c>
      <c r="Q10" s="42">
        <f>SUM(L10:P10)</f>
        <v>6256.25</v>
      </c>
    </row>
    <row r="11" spans="2:18" ht="12.75">
      <c r="B11" s="66"/>
      <c r="C11" s="185"/>
      <c r="D11" s="37"/>
      <c r="E11" s="218"/>
      <c r="F11" s="219"/>
      <c r="G11" s="220"/>
      <c r="H11" s="185"/>
      <c r="I11" s="185"/>
      <c r="J11" s="221">
        <v>10</v>
      </c>
      <c r="K11" s="185" t="s">
        <v>379</v>
      </c>
      <c r="L11" s="221"/>
      <c r="M11" s="222">
        <f>D10/J11*285/360</f>
        <v>1567.5</v>
      </c>
      <c r="N11" s="37">
        <f>D10/J11</f>
        <v>1980</v>
      </c>
      <c r="O11" s="37">
        <f>N11</f>
        <v>1980</v>
      </c>
      <c r="P11" s="37">
        <f>O11</f>
        <v>1980</v>
      </c>
      <c r="Q11" s="80">
        <f>SUM(L11:P11)</f>
        <v>7507.5</v>
      </c>
      <c r="R11" s="2"/>
    </row>
    <row r="12" spans="2:18" ht="12.75">
      <c r="B12" s="223" t="s">
        <v>339</v>
      </c>
      <c r="C12" s="195">
        <v>2154100</v>
      </c>
      <c r="D12" s="29">
        <v>8400</v>
      </c>
      <c r="E12" s="494" t="s">
        <v>576</v>
      </c>
      <c r="F12" s="490"/>
      <c r="G12" s="209" t="s">
        <v>576</v>
      </c>
      <c r="H12" s="195">
        <v>10</v>
      </c>
      <c r="I12" s="195" t="s">
        <v>379</v>
      </c>
      <c r="J12" s="221">
        <v>10</v>
      </c>
      <c r="K12" s="185" t="s">
        <v>379</v>
      </c>
      <c r="L12" s="29"/>
      <c r="M12" s="29">
        <f>(D12/H12)</f>
        <v>840</v>
      </c>
      <c r="N12" s="29">
        <f t="shared" si="0"/>
        <v>840</v>
      </c>
      <c r="O12" s="29">
        <f t="shared" si="0"/>
        <v>840</v>
      </c>
      <c r="P12" s="29">
        <f t="shared" si="0"/>
        <v>840</v>
      </c>
      <c r="Q12" s="39">
        <f>SUM(L12:P12)</f>
        <v>3360</v>
      </c>
      <c r="R12" s="2"/>
    </row>
    <row r="13" spans="2:17" ht="12.75">
      <c r="B13" s="213" t="s">
        <v>340</v>
      </c>
      <c r="C13" s="214">
        <v>2154300</v>
      </c>
      <c r="D13" s="35">
        <v>9600</v>
      </c>
      <c r="E13" s="492">
        <v>38082</v>
      </c>
      <c r="F13" s="493"/>
      <c r="G13" s="215">
        <v>38092</v>
      </c>
      <c r="H13" s="214">
        <v>5</v>
      </c>
      <c r="I13" s="214" t="s">
        <v>379</v>
      </c>
      <c r="J13" s="216"/>
      <c r="K13" s="216"/>
      <c r="L13" s="216"/>
      <c r="M13" s="217"/>
      <c r="N13" s="225">
        <f>D13/5*255/360</f>
        <v>1360</v>
      </c>
      <c r="O13" s="225">
        <f>D13/H13</f>
        <v>1920</v>
      </c>
      <c r="P13" s="35">
        <f>O13</f>
        <v>1920</v>
      </c>
      <c r="Q13" s="42">
        <f>SUM(N13:P13)</f>
        <v>5200</v>
      </c>
    </row>
    <row r="14" spans="2:18" ht="12.75">
      <c r="B14" s="66"/>
      <c r="C14" s="185"/>
      <c r="D14" s="37"/>
      <c r="E14" s="218"/>
      <c r="F14" s="226"/>
      <c r="G14" s="185"/>
      <c r="H14" s="185"/>
      <c r="I14" s="185"/>
      <c r="J14" s="221">
        <v>5</v>
      </c>
      <c r="K14" s="221" t="s">
        <v>381</v>
      </c>
      <c r="L14" s="221"/>
      <c r="M14" s="222"/>
      <c r="N14" s="227">
        <f>D13*1.75/J14*9/12</f>
        <v>2520</v>
      </c>
      <c r="O14" s="37">
        <f>(D13-N14)*1.75/J14</f>
        <v>2478</v>
      </c>
      <c r="P14" s="37">
        <f>(D13-N14-O14)*1.75/J14</f>
        <v>1610.7</v>
      </c>
      <c r="Q14" s="80">
        <f>SUM(L14:P14)</f>
        <v>6608.7</v>
      </c>
      <c r="R14" s="2"/>
    </row>
    <row r="15" spans="2:17" ht="12.75">
      <c r="B15" s="223" t="s">
        <v>382</v>
      </c>
      <c r="C15" s="195">
        <v>2182100</v>
      </c>
      <c r="D15" s="29">
        <v>12000</v>
      </c>
      <c r="E15" s="494">
        <v>38153</v>
      </c>
      <c r="F15" s="495"/>
      <c r="G15" s="228">
        <v>38153</v>
      </c>
      <c r="H15" s="195">
        <v>8</v>
      </c>
      <c r="I15" s="195" t="s">
        <v>383</v>
      </c>
      <c r="J15" s="197"/>
      <c r="K15" s="197"/>
      <c r="L15" s="197"/>
      <c r="M15" s="229"/>
      <c r="N15" s="225">
        <f>D15*10000/200000</f>
        <v>600</v>
      </c>
      <c r="O15" s="225">
        <f>D15*20/200</f>
        <v>1200</v>
      </c>
      <c r="P15" s="35">
        <f>D15*25/200</f>
        <v>1500</v>
      </c>
      <c r="Q15" s="42">
        <f>SUM(N15:P15)</f>
        <v>3300</v>
      </c>
    </row>
    <row r="16" spans="2:18" ht="12.75">
      <c r="B16" s="223"/>
      <c r="C16" s="195"/>
      <c r="D16" s="29"/>
      <c r="E16" s="224"/>
      <c r="F16" s="16"/>
      <c r="G16" s="195"/>
      <c r="H16" s="195"/>
      <c r="I16" s="195"/>
      <c r="J16" s="197">
        <v>5</v>
      </c>
      <c r="K16" s="195" t="s">
        <v>379</v>
      </c>
      <c r="L16" s="197"/>
      <c r="M16" s="229"/>
      <c r="N16" s="29">
        <f>$D15*(195/360)/$J16</f>
        <v>1300</v>
      </c>
      <c r="O16" s="29">
        <f>D15/J16</f>
        <v>2400</v>
      </c>
      <c r="P16" s="29">
        <f>D15/J16</f>
        <v>2400</v>
      </c>
      <c r="Q16" s="39">
        <f>SUM(N16:P16)</f>
        <v>6100</v>
      </c>
      <c r="R16" s="2"/>
    </row>
    <row r="17" spans="2:17" ht="12.75">
      <c r="B17" s="213" t="s">
        <v>344</v>
      </c>
      <c r="C17" s="214">
        <v>2183510</v>
      </c>
      <c r="D17" s="35">
        <v>1240</v>
      </c>
      <c r="E17" s="492">
        <v>38169</v>
      </c>
      <c r="F17" s="493"/>
      <c r="G17" s="215">
        <v>38178</v>
      </c>
      <c r="H17" s="214">
        <v>4</v>
      </c>
      <c r="I17" s="214" t="s">
        <v>379</v>
      </c>
      <c r="J17" s="214"/>
      <c r="K17" s="214"/>
      <c r="L17" s="216"/>
      <c r="M17" s="217"/>
      <c r="N17" s="35">
        <f>D17/H17*170/360</f>
        <v>146.38888888888889</v>
      </c>
      <c r="O17" s="35">
        <f>D17/H17</f>
        <v>310</v>
      </c>
      <c r="P17" s="35">
        <f>(D17-O17)*1/3</f>
        <v>310</v>
      </c>
      <c r="Q17" s="42">
        <f>SUM(L17:P17)</f>
        <v>766.3888888888889</v>
      </c>
    </row>
    <row r="18" spans="2:18" ht="12.75">
      <c r="B18" s="66"/>
      <c r="C18" s="185"/>
      <c r="D18" s="37"/>
      <c r="E18" s="218"/>
      <c r="F18" s="226"/>
      <c r="G18" s="185"/>
      <c r="H18" s="185"/>
      <c r="I18" s="185"/>
      <c r="J18" s="185">
        <v>4</v>
      </c>
      <c r="K18" s="221" t="s">
        <v>381</v>
      </c>
      <c r="L18" s="221"/>
      <c r="M18" s="222"/>
      <c r="N18" s="37">
        <f>D17*1.25/4*6/12</f>
        <v>193.75</v>
      </c>
      <c r="O18" s="37">
        <f>(D17-N18)/3</f>
        <v>348.75</v>
      </c>
      <c r="P18" s="37">
        <f>(D17-N18-O18)/2</f>
        <v>348.75</v>
      </c>
      <c r="Q18" s="80">
        <f>SUM(N18:P18)</f>
        <v>891.25</v>
      </c>
      <c r="R18" s="2"/>
    </row>
    <row r="19" spans="2:17" ht="12.75">
      <c r="B19" s="223" t="s">
        <v>345</v>
      </c>
      <c r="C19" s="195">
        <v>2183520</v>
      </c>
      <c r="D19" s="29">
        <v>600</v>
      </c>
      <c r="E19" s="494">
        <v>38169</v>
      </c>
      <c r="F19" s="495"/>
      <c r="G19" s="228">
        <v>38178</v>
      </c>
      <c r="H19" s="195">
        <v>4</v>
      </c>
      <c r="I19" s="195" t="s">
        <v>379</v>
      </c>
      <c r="J19" s="195">
        <v>4</v>
      </c>
      <c r="K19" s="195" t="s">
        <v>379</v>
      </c>
      <c r="L19" s="197"/>
      <c r="M19" s="195"/>
      <c r="N19" s="29">
        <f>D19/H19*170/360</f>
        <v>70.83333333333333</v>
      </c>
      <c r="O19" s="29">
        <f>D19/H19</f>
        <v>150</v>
      </c>
      <c r="P19" s="29">
        <f>$D19/$H19</f>
        <v>150</v>
      </c>
      <c r="Q19" s="39">
        <f>SUM(L19:P19)</f>
        <v>370.8333333333333</v>
      </c>
    </row>
    <row r="20" spans="2:17" ht="12.75">
      <c r="B20" s="230" t="s">
        <v>384</v>
      </c>
      <c r="C20" s="214">
        <v>2050001</v>
      </c>
      <c r="D20" s="35">
        <v>600</v>
      </c>
      <c r="E20" s="492">
        <v>38200</v>
      </c>
      <c r="F20" s="493"/>
      <c r="G20" s="215">
        <v>38200</v>
      </c>
      <c r="H20" s="214">
        <v>4</v>
      </c>
      <c r="I20" s="214" t="s">
        <v>379</v>
      </c>
      <c r="J20" s="214"/>
      <c r="K20" s="214"/>
      <c r="L20" s="216"/>
      <c r="M20" s="231"/>
      <c r="N20" s="35">
        <f>D20/H20*5/12</f>
        <v>62.5</v>
      </c>
      <c r="O20" s="35">
        <f>D20/H20</f>
        <v>150</v>
      </c>
      <c r="P20" s="35">
        <f>D20/H20</f>
        <v>150</v>
      </c>
      <c r="Q20" s="42">
        <f>SUM(L20:P20)</f>
        <v>362.5</v>
      </c>
    </row>
    <row r="21" spans="2:18" ht="12.75">
      <c r="B21" s="232"/>
      <c r="C21" s="185"/>
      <c r="D21" s="37"/>
      <c r="E21" s="218"/>
      <c r="F21" s="226"/>
      <c r="G21" s="185"/>
      <c r="H21" s="185"/>
      <c r="I21" s="185"/>
      <c r="J21" s="185">
        <v>1</v>
      </c>
      <c r="K21" s="185" t="s">
        <v>385</v>
      </c>
      <c r="L21" s="221"/>
      <c r="M21" s="233"/>
      <c r="N21" s="37">
        <f>D20*5/12</f>
        <v>250</v>
      </c>
      <c r="O21" s="37">
        <f>D20*7/12</f>
        <v>350</v>
      </c>
      <c r="P21" s="37"/>
      <c r="Q21" s="80">
        <f>SUM(N21:P21)</f>
        <v>600</v>
      </c>
      <c r="R21" s="2"/>
    </row>
    <row r="22" spans="2:17" ht="12.75">
      <c r="B22" s="234" t="s">
        <v>335</v>
      </c>
      <c r="C22" s="195">
        <v>2050002</v>
      </c>
      <c r="D22" s="29">
        <v>900</v>
      </c>
      <c r="E22" s="494">
        <v>38838</v>
      </c>
      <c r="F22" s="495"/>
      <c r="G22" s="228">
        <v>38838</v>
      </c>
      <c r="H22" s="195">
        <v>4</v>
      </c>
      <c r="I22" s="195" t="s">
        <v>379</v>
      </c>
      <c r="J22" s="195"/>
      <c r="K22" s="195"/>
      <c r="L22" s="197"/>
      <c r="M22" s="235"/>
      <c r="N22" s="29"/>
      <c r="O22" s="29"/>
      <c r="P22" s="29">
        <f>D22/H22*8/12</f>
        <v>150</v>
      </c>
      <c r="Q22" s="39">
        <f>SUM(L22:P22)</f>
        <v>150</v>
      </c>
    </row>
    <row r="23" spans="2:18" ht="13.5" thickBot="1">
      <c r="B23" s="236"/>
      <c r="C23" s="237"/>
      <c r="D23" s="238"/>
      <c r="E23" s="239"/>
      <c r="F23" s="240"/>
      <c r="G23" s="237"/>
      <c r="H23" s="237"/>
      <c r="I23" s="237"/>
      <c r="J23" s="241">
        <v>1</v>
      </c>
      <c r="K23" s="237" t="s">
        <v>385</v>
      </c>
      <c r="L23" s="241"/>
      <c r="M23" s="242"/>
      <c r="N23" s="238"/>
      <c r="O23" s="238"/>
      <c r="P23" s="238">
        <f>D22*8/12</f>
        <v>600</v>
      </c>
      <c r="Q23" s="41">
        <f>SUM(O23:P23)</f>
        <v>600</v>
      </c>
      <c r="R23" s="2"/>
    </row>
    <row r="24" spans="1:18" ht="12.75">
      <c r="A24" t="s">
        <v>386</v>
      </c>
      <c r="C24" s="16"/>
      <c r="D24" s="243"/>
      <c r="E24" s="16"/>
      <c r="F24" s="16"/>
      <c r="G24" s="16"/>
      <c r="H24" s="16"/>
      <c r="I24" s="16"/>
      <c r="J24" s="16"/>
      <c r="K24" s="16"/>
      <c r="L24" s="244"/>
      <c r="M24" s="245"/>
      <c r="N24" s="245"/>
      <c r="O24" s="245"/>
      <c r="P24" s="245"/>
      <c r="Q24" s="245"/>
      <c r="R24" s="2"/>
    </row>
    <row r="25" spans="1:17" ht="12.75">
      <c r="A25" t="s">
        <v>668</v>
      </c>
      <c r="C25" s="16"/>
      <c r="D25" s="243"/>
      <c r="E25" s="16"/>
      <c r="F25" s="16"/>
      <c r="G25" s="16"/>
      <c r="H25" s="16"/>
      <c r="I25" s="16"/>
      <c r="J25" s="16"/>
      <c r="K25" s="16"/>
      <c r="L25" s="16"/>
      <c r="M25" s="245"/>
      <c r="N25" s="243"/>
      <c r="O25" s="243"/>
      <c r="P25" s="243"/>
      <c r="Q25" s="243"/>
    </row>
    <row r="26" spans="1:17" ht="12.75">
      <c r="A26" t="s">
        <v>387</v>
      </c>
      <c r="C26" s="246">
        <v>560000</v>
      </c>
      <c r="D26" t="s">
        <v>679</v>
      </c>
      <c r="O26" s="243"/>
      <c r="P26" s="243"/>
      <c r="Q26" s="243"/>
    </row>
    <row r="27" spans="1:17" ht="12.75">
      <c r="A27" t="s">
        <v>388</v>
      </c>
      <c r="O27" s="243"/>
      <c r="P27" s="243"/>
      <c r="Q27" s="243"/>
    </row>
    <row r="28" spans="1:17" ht="12.75">
      <c r="A28" t="s">
        <v>389</v>
      </c>
      <c r="D28" s="491" t="s">
        <v>390</v>
      </c>
      <c r="E28" s="491"/>
      <c r="F28" s="491"/>
      <c r="G28" t="s">
        <v>391</v>
      </c>
      <c r="J28" s="248"/>
      <c r="K28" s="2">
        <f>C26</f>
        <v>560000</v>
      </c>
      <c r="L28" s="181" t="s">
        <v>392</v>
      </c>
      <c r="M28" s="248">
        <v>0.875</v>
      </c>
      <c r="N28" s="181" t="s">
        <v>393</v>
      </c>
      <c r="O28" s="249">
        <f>K28*M28</f>
        <v>490000</v>
      </c>
      <c r="P28" s="243"/>
      <c r="Q28" s="243"/>
    </row>
    <row r="29" spans="7:17" ht="12.75">
      <c r="G29" t="s">
        <v>394</v>
      </c>
      <c r="J29" s="248"/>
      <c r="K29" s="2">
        <f>C26</f>
        <v>560000</v>
      </c>
      <c r="L29" s="181" t="s">
        <v>392</v>
      </c>
      <c r="M29" s="248">
        <v>0.125</v>
      </c>
      <c r="N29" s="181" t="s">
        <v>393</v>
      </c>
      <c r="O29" s="249">
        <f>K29*M29</f>
        <v>70000</v>
      </c>
      <c r="P29" s="243"/>
      <c r="Q29" s="243"/>
    </row>
    <row r="30" spans="7:17" ht="12.75">
      <c r="G30" t="s">
        <v>395</v>
      </c>
      <c r="J30" s="248"/>
      <c r="K30" s="2">
        <f>C26*3/20</f>
        <v>84000</v>
      </c>
      <c r="L30" s="181" t="s">
        <v>392</v>
      </c>
      <c r="M30" s="248">
        <v>0.875</v>
      </c>
      <c r="N30" s="181" t="s">
        <v>393</v>
      </c>
      <c r="O30" s="249">
        <f>K30*M30</f>
        <v>73500</v>
      </c>
      <c r="P30" s="243"/>
      <c r="Q30" s="243"/>
    </row>
    <row r="31" spans="7:17" ht="12.75">
      <c r="G31" t="s">
        <v>396</v>
      </c>
      <c r="J31" s="248"/>
      <c r="K31" s="2">
        <f>K30</f>
        <v>84000</v>
      </c>
      <c r="L31" s="181" t="s">
        <v>392</v>
      </c>
      <c r="M31" s="248">
        <v>0.125</v>
      </c>
      <c r="N31" s="181" t="s">
        <v>393</v>
      </c>
      <c r="O31" s="249">
        <f>K31*M31</f>
        <v>10500</v>
      </c>
      <c r="P31" s="243"/>
      <c r="Q31" s="243"/>
    </row>
    <row r="32" spans="2:17" ht="12.75">
      <c r="B32" s="247" t="s">
        <v>397</v>
      </c>
      <c r="C32" s="250">
        <v>2130100</v>
      </c>
      <c r="D32" t="s">
        <v>377</v>
      </c>
      <c r="I32" s="29">
        <f>O28</f>
        <v>490000</v>
      </c>
      <c r="J32" s="489"/>
      <c r="K32" s="490"/>
      <c r="L32" s="251"/>
      <c r="M32" s="243"/>
      <c r="N32" s="243"/>
      <c r="O32" s="243"/>
      <c r="P32" s="243"/>
      <c r="Q32" s="243"/>
    </row>
    <row r="33" spans="2:17" ht="12.75">
      <c r="B33" s="252">
        <v>38353</v>
      </c>
      <c r="C33" s="250">
        <v>2130520</v>
      </c>
      <c r="D33" t="s">
        <v>398</v>
      </c>
      <c r="I33" s="29">
        <f>O29</f>
        <v>70000</v>
      </c>
      <c r="J33" s="489"/>
      <c r="K33" s="490"/>
      <c r="L33" s="251"/>
      <c r="M33" s="243"/>
      <c r="N33" s="243"/>
      <c r="O33" s="243"/>
      <c r="P33" s="243"/>
      <c r="Q33" s="243"/>
    </row>
    <row r="34" spans="3:17" ht="12.75">
      <c r="C34" s="14">
        <v>2131</v>
      </c>
      <c r="E34" t="s">
        <v>399</v>
      </c>
      <c r="I34" s="14"/>
      <c r="J34" s="507">
        <f>C26</f>
        <v>560000</v>
      </c>
      <c r="K34" s="507"/>
      <c r="L34" s="253"/>
      <c r="M34" s="243"/>
      <c r="N34" s="243"/>
      <c r="O34" s="243"/>
      <c r="P34" s="243"/>
      <c r="Q34" s="243"/>
    </row>
    <row r="35" spans="3:17" ht="12.75">
      <c r="C35" s="14"/>
      <c r="D35" s="509" t="s">
        <v>400</v>
      </c>
      <c r="E35" s="496"/>
      <c r="F35" s="496"/>
      <c r="G35" s="496"/>
      <c r="H35" s="496"/>
      <c r="I35" s="14"/>
      <c r="J35" s="509"/>
      <c r="K35" s="497"/>
      <c r="L35" s="251"/>
      <c r="M35" s="243"/>
      <c r="N35" s="243"/>
      <c r="O35" s="243"/>
      <c r="P35" s="243"/>
      <c r="Q35" s="243"/>
    </row>
    <row r="36" spans="3:17" ht="12.75">
      <c r="C36" s="250">
        <v>2813100</v>
      </c>
      <c r="D36" t="s">
        <v>401</v>
      </c>
      <c r="I36" s="29">
        <f>K30</f>
        <v>84000</v>
      </c>
      <c r="J36" s="489"/>
      <c r="K36" s="490"/>
      <c r="L36" s="251"/>
      <c r="M36" s="243"/>
      <c r="N36" s="243"/>
      <c r="O36" s="243"/>
      <c r="P36" s="243"/>
      <c r="Q36" s="243"/>
    </row>
    <row r="37" spans="2:17" ht="12.75">
      <c r="B37" s="252">
        <v>38353</v>
      </c>
      <c r="C37" s="255">
        <v>28130100</v>
      </c>
      <c r="E37" t="s">
        <v>402</v>
      </c>
      <c r="I37" s="14"/>
      <c r="J37" s="507">
        <f>O30</f>
        <v>73500</v>
      </c>
      <c r="K37" s="508"/>
      <c r="L37" s="253"/>
      <c r="M37" s="243"/>
      <c r="N37" s="243"/>
      <c r="O37" s="243"/>
      <c r="P37" s="243"/>
      <c r="Q37" s="243"/>
    </row>
    <row r="38" spans="3:17" ht="12.75">
      <c r="C38" s="255">
        <v>28130520</v>
      </c>
      <c r="E38" t="s">
        <v>403</v>
      </c>
      <c r="I38" s="14"/>
      <c r="J38" s="507">
        <f>O31</f>
        <v>10500</v>
      </c>
      <c r="K38" s="508"/>
      <c r="L38" s="253"/>
      <c r="M38" s="243"/>
      <c r="N38" s="243"/>
      <c r="O38" s="243"/>
      <c r="P38" s="243"/>
      <c r="Q38" s="243"/>
    </row>
    <row r="39" spans="3:17" ht="12.75">
      <c r="C39" s="14"/>
      <c r="D39" s="509" t="s">
        <v>404</v>
      </c>
      <c r="E39" s="496"/>
      <c r="F39" s="496"/>
      <c r="G39" s="496"/>
      <c r="H39" s="496"/>
      <c r="I39" s="256"/>
      <c r="J39" s="509"/>
      <c r="K39" s="497"/>
      <c r="L39" s="251"/>
      <c r="M39" s="243"/>
      <c r="N39" s="243"/>
      <c r="O39" s="243"/>
      <c r="P39" s="243"/>
      <c r="Q39" s="243"/>
    </row>
    <row r="40" ht="12.75">
      <c r="D40" s="2"/>
    </row>
    <row r="41" spans="3:16" ht="13.5" thickBot="1">
      <c r="C41" s="257" t="s">
        <v>405</v>
      </c>
      <c r="M41" s="3"/>
      <c r="N41" s="3"/>
      <c r="O41" s="3"/>
      <c r="P41" s="3"/>
    </row>
    <row r="42" spans="2:16" ht="12.75">
      <c r="B42" s="258" t="s">
        <v>406</v>
      </c>
      <c r="C42" s="40"/>
      <c r="D42" s="259"/>
      <c r="H42" s="260" t="s">
        <v>407</v>
      </c>
      <c r="I42" s="192"/>
      <c r="J42" s="192"/>
      <c r="K42" s="192"/>
      <c r="L42" s="192"/>
      <c r="M42" s="40"/>
      <c r="N42" s="259"/>
      <c r="O42" s="3"/>
      <c r="P42" s="3"/>
    </row>
    <row r="43" spans="2:16" ht="12.75">
      <c r="B43" s="234" t="s">
        <v>408</v>
      </c>
      <c r="C43" s="3"/>
      <c r="D43" s="261"/>
      <c r="H43" s="194" t="s">
        <v>409</v>
      </c>
      <c r="I43" s="16"/>
      <c r="J43" s="16"/>
      <c r="K43" s="16"/>
      <c r="L43" s="16"/>
      <c r="M43" s="3"/>
      <c r="N43" s="261"/>
      <c r="O43" s="3"/>
      <c r="P43" s="3"/>
    </row>
    <row r="44" spans="2:16" ht="12.75">
      <c r="B44" s="262" t="s">
        <v>410</v>
      </c>
      <c r="C44" s="3" t="s">
        <v>411</v>
      </c>
      <c r="D44" s="261"/>
      <c r="H44" s="234"/>
      <c r="I44" s="3" t="s">
        <v>412</v>
      </c>
      <c r="J44" s="3"/>
      <c r="K44" s="3"/>
      <c r="L44" s="3"/>
      <c r="M44" s="3" t="s">
        <v>411</v>
      </c>
      <c r="N44" s="261"/>
      <c r="O44" s="16"/>
      <c r="P44" s="16"/>
    </row>
    <row r="45" spans="2:16" ht="12.75">
      <c r="B45" s="194" t="s">
        <v>413</v>
      </c>
      <c r="C45" s="3"/>
      <c r="D45" s="261"/>
      <c r="H45" s="498" t="s">
        <v>414</v>
      </c>
      <c r="I45" s="488"/>
      <c r="J45" s="488"/>
      <c r="K45" s="488"/>
      <c r="L45" s="488"/>
      <c r="M45" s="3"/>
      <c r="N45" s="261"/>
      <c r="O45" s="3"/>
      <c r="P45" s="3"/>
    </row>
    <row r="46" spans="2:16" ht="12.75">
      <c r="B46" s="505" t="s">
        <v>343</v>
      </c>
      <c r="C46" s="506"/>
      <c r="D46" s="266">
        <v>8850</v>
      </c>
      <c r="E46" s="2"/>
      <c r="H46" s="505" t="s">
        <v>346</v>
      </c>
      <c r="I46" s="506"/>
      <c r="J46" s="506"/>
      <c r="K46" s="506"/>
      <c r="L46" s="506"/>
      <c r="M46" s="264"/>
      <c r="N46" s="266">
        <v>22000</v>
      </c>
      <c r="O46" s="16"/>
      <c r="P46" s="243"/>
    </row>
    <row r="47" spans="2:16" ht="12.75">
      <c r="B47" s="500" t="s">
        <v>415</v>
      </c>
      <c r="C47" s="501"/>
      <c r="D47" s="267">
        <v>150</v>
      </c>
      <c r="H47" s="500" t="s">
        <v>416</v>
      </c>
      <c r="I47" s="501"/>
      <c r="J47" s="501"/>
      <c r="K47" s="501"/>
      <c r="L47" s="501"/>
      <c r="M47" s="16"/>
      <c r="N47" s="267">
        <f>-N46*0.1</f>
        <v>-2200</v>
      </c>
      <c r="O47" s="16"/>
      <c r="P47" s="243"/>
    </row>
    <row r="48" spans="2:16" ht="12.75">
      <c r="B48" s="194"/>
      <c r="C48" s="16"/>
      <c r="D48" s="266">
        <f>SUM(D46:D47)</f>
        <v>9000</v>
      </c>
      <c r="H48" s="234"/>
      <c r="I48" s="16"/>
      <c r="J48" s="16"/>
      <c r="K48" s="16"/>
      <c r="L48" s="16"/>
      <c r="M48" s="16"/>
      <c r="N48" s="266">
        <f>SUM(N46:N47)</f>
        <v>19800</v>
      </c>
      <c r="O48" s="3"/>
      <c r="P48" s="243"/>
    </row>
    <row r="49" spans="2:16" ht="12.75">
      <c r="B49" s="500" t="s">
        <v>417</v>
      </c>
      <c r="C49" s="501"/>
      <c r="D49" s="267">
        <v>1764</v>
      </c>
      <c r="E49" s="2"/>
      <c r="H49" s="500" t="s">
        <v>418</v>
      </c>
      <c r="I49" s="501"/>
      <c r="J49" s="501"/>
      <c r="K49" s="501"/>
      <c r="L49" s="501"/>
      <c r="M49" s="16"/>
      <c r="N49" s="267">
        <v>1200</v>
      </c>
      <c r="O49" s="16"/>
      <c r="P49" s="243"/>
    </row>
    <row r="50" spans="2:16" ht="12.75">
      <c r="B50" s="500" t="s">
        <v>419</v>
      </c>
      <c r="C50" s="501"/>
      <c r="D50" s="267">
        <v>100</v>
      </c>
      <c r="H50" s="234"/>
      <c r="I50" s="16"/>
      <c r="J50" s="16"/>
      <c r="K50" s="16"/>
      <c r="L50" s="16"/>
      <c r="M50" s="16"/>
      <c r="N50" s="266">
        <f>SUM(N48:N49)</f>
        <v>21000</v>
      </c>
      <c r="O50" s="3"/>
      <c r="P50" s="243"/>
    </row>
    <row r="51" spans="2:16" ht="12.75">
      <c r="B51" s="500" t="s">
        <v>420</v>
      </c>
      <c r="C51" s="501"/>
      <c r="D51" s="267">
        <v>20</v>
      </c>
      <c r="H51" s="500" t="s">
        <v>417</v>
      </c>
      <c r="I51" s="501"/>
      <c r="J51" s="501"/>
      <c r="K51" s="501"/>
      <c r="L51" s="501"/>
      <c r="M51" s="16"/>
      <c r="N51" s="267">
        <f>N50*0.196</f>
        <v>4116</v>
      </c>
      <c r="O51" s="16"/>
      <c r="P51" s="243"/>
    </row>
    <row r="52" spans="2:16" ht="12.75">
      <c r="B52" s="500" t="s">
        <v>421</v>
      </c>
      <c r="C52" s="501"/>
      <c r="D52" s="266">
        <f>SUM(D48:D51)</f>
        <v>10884</v>
      </c>
      <c r="E52" s="2"/>
      <c r="H52" s="500" t="s">
        <v>421</v>
      </c>
      <c r="I52" s="501"/>
      <c r="J52" s="501"/>
      <c r="K52" s="501"/>
      <c r="L52" s="501"/>
      <c r="M52" s="16"/>
      <c r="N52" s="266">
        <f>SUM(N50:N51)</f>
        <v>25116</v>
      </c>
      <c r="O52" s="16"/>
      <c r="P52" s="243"/>
    </row>
    <row r="53" spans="2:16" ht="13.5" thickBot="1">
      <c r="B53" s="502" t="s">
        <v>422</v>
      </c>
      <c r="C53" s="503"/>
      <c r="D53" s="504"/>
      <c r="H53" s="270" t="s">
        <v>423</v>
      </c>
      <c r="I53" s="268"/>
      <c r="J53" s="268"/>
      <c r="K53" s="268"/>
      <c r="L53" s="268"/>
      <c r="M53" s="268"/>
      <c r="N53" s="269"/>
      <c r="O53" s="137"/>
      <c r="P53" s="137"/>
    </row>
    <row r="54" spans="1:5" ht="12.75">
      <c r="A54" t="s">
        <v>424</v>
      </c>
      <c r="E54" t="s">
        <v>425</v>
      </c>
    </row>
    <row r="55" ht="12.75">
      <c r="E55" t="s">
        <v>426</v>
      </c>
    </row>
    <row r="56" spans="1:14" ht="12.75">
      <c r="A56" t="s">
        <v>427</v>
      </c>
      <c r="D56" s="3"/>
      <c r="E56" s="254"/>
      <c r="F56" s="254"/>
      <c r="G56" s="254"/>
      <c r="H56" s="254"/>
      <c r="I56" s="254"/>
      <c r="J56" s="254"/>
      <c r="K56" s="254"/>
      <c r="L56" s="254"/>
      <c r="M56" s="3"/>
      <c r="N56" s="3"/>
    </row>
    <row r="57" ht="12.75">
      <c r="A57" s="257"/>
    </row>
  </sheetData>
  <mergeCells count="38">
    <mergeCell ref="B1:Q1"/>
    <mergeCell ref="B2:Q2"/>
    <mergeCell ref="E6:F6"/>
    <mergeCell ref="H6:I6"/>
    <mergeCell ref="J6:K6"/>
    <mergeCell ref="M6:P6"/>
    <mergeCell ref="E10:F10"/>
    <mergeCell ref="E12:F12"/>
    <mergeCell ref="E13:F13"/>
    <mergeCell ref="E15:F15"/>
    <mergeCell ref="E17:F17"/>
    <mergeCell ref="E19:F19"/>
    <mergeCell ref="E20:F20"/>
    <mergeCell ref="E22:F22"/>
    <mergeCell ref="D28:F28"/>
    <mergeCell ref="J32:K32"/>
    <mergeCell ref="J33:K33"/>
    <mergeCell ref="J34:K34"/>
    <mergeCell ref="D35:H35"/>
    <mergeCell ref="J35:K35"/>
    <mergeCell ref="J36:K36"/>
    <mergeCell ref="J37:K37"/>
    <mergeCell ref="J38:K38"/>
    <mergeCell ref="D39:H39"/>
    <mergeCell ref="J39:K39"/>
    <mergeCell ref="H45:L45"/>
    <mergeCell ref="B46:C46"/>
    <mergeCell ref="H46:L46"/>
    <mergeCell ref="B47:C47"/>
    <mergeCell ref="H47:L47"/>
    <mergeCell ref="B52:C52"/>
    <mergeCell ref="H52:L52"/>
    <mergeCell ref="B53:D53"/>
    <mergeCell ref="B49:C49"/>
    <mergeCell ref="H49:L49"/>
    <mergeCell ref="B50:C50"/>
    <mergeCell ref="B51:C51"/>
    <mergeCell ref="H51:L51"/>
  </mergeCells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72" r:id="rId1"/>
  <headerFooter alignWithMargins="0">
    <oddFooter>&amp;R&amp;"Arial,Italique"&amp;8&amp;P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3">
      <selection activeCell="A34" sqref="A34"/>
    </sheetView>
  </sheetViews>
  <sheetFormatPr defaultColWidth="11.421875" defaultRowHeight="12.75"/>
  <cols>
    <col min="8" max="8" width="14.57421875" style="0" customWidth="1"/>
  </cols>
  <sheetData>
    <row r="2" spans="1:8" ht="20.25">
      <c r="A2" s="480" t="s">
        <v>608</v>
      </c>
      <c r="B2" s="480"/>
      <c r="C2" s="480"/>
      <c r="D2" s="480"/>
      <c r="E2" s="480"/>
      <c r="F2" s="480"/>
      <c r="G2" s="480"/>
      <c r="H2" s="480"/>
    </row>
    <row r="4" ht="12.75">
      <c r="A4" t="s">
        <v>609</v>
      </c>
    </row>
    <row r="5" ht="12.75">
      <c r="A5" t="s">
        <v>610</v>
      </c>
    </row>
    <row r="6" ht="12.75">
      <c r="A6" t="s">
        <v>611</v>
      </c>
    </row>
    <row r="8" ht="12.75">
      <c r="A8" s="182" t="s">
        <v>357</v>
      </c>
    </row>
    <row r="9" spans="1:6" ht="12.75">
      <c r="A9" s="3" t="s">
        <v>612</v>
      </c>
      <c r="F9" s="2">
        <v>19654.96</v>
      </c>
    </row>
    <row r="10" spans="1:6" ht="12.75">
      <c r="A10" s="3" t="s">
        <v>613</v>
      </c>
      <c r="F10" s="2">
        <v>6243.52</v>
      </c>
    </row>
    <row r="11" spans="1:6" ht="12.75">
      <c r="A11" t="s">
        <v>614</v>
      </c>
      <c r="F11" s="2">
        <v>24327.54</v>
      </c>
    </row>
    <row r="12" spans="1:2" ht="12.75">
      <c r="A12" s="1" t="s">
        <v>615</v>
      </c>
      <c r="B12" s="3"/>
    </row>
    <row r="13" spans="1:2" ht="12.75">
      <c r="A13" s="458" t="s">
        <v>616</v>
      </c>
      <c r="B13" s="3"/>
    </row>
    <row r="14" ht="12.75">
      <c r="A14" s="183" t="s">
        <v>617</v>
      </c>
    </row>
    <row r="15" ht="12.75">
      <c r="A15" s="1" t="s">
        <v>429</v>
      </c>
    </row>
    <row r="16" ht="12.75">
      <c r="A16" s="1" t="s">
        <v>618</v>
      </c>
    </row>
    <row r="17" ht="12.75">
      <c r="A17" s="1" t="s">
        <v>619</v>
      </c>
    </row>
    <row r="18" ht="12.75">
      <c r="A18" s="1" t="s">
        <v>620</v>
      </c>
    </row>
    <row r="19" ht="12.75">
      <c r="A19" s="1" t="s">
        <v>681</v>
      </c>
    </row>
    <row r="20" ht="12.75">
      <c r="A20" s="1" t="s">
        <v>621</v>
      </c>
    </row>
    <row r="21" ht="12.75">
      <c r="A21" s="1" t="s">
        <v>622</v>
      </c>
    </row>
    <row r="22" ht="12.75">
      <c r="A22" s="1" t="s">
        <v>651</v>
      </c>
    </row>
    <row r="23" ht="12.75">
      <c r="A23" s="1" t="s">
        <v>623</v>
      </c>
    </row>
    <row r="24" ht="12.75">
      <c r="A24" s="1" t="s">
        <v>624</v>
      </c>
    </row>
    <row r="25" ht="12.75">
      <c r="A25" s="1" t="s">
        <v>625</v>
      </c>
    </row>
    <row r="26" ht="12.75">
      <c r="A26" t="s">
        <v>626</v>
      </c>
    </row>
    <row r="27" ht="12.75">
      <c r="A27" s="1" t="s">
        <v>627</v>
      </c>
    </row>
    <row r="28" ht="12.75">
      <c r="A28" t="s">
        <v>628</v>
      </c>
    </row>
    <row r="29" ht="12.75">
      <c r="A29" s="458" t="s">
        <v>629</v>
      </c>
    </row>
    <row r="30" ht="12.75">
      <c r="A30" t="s">
        <v>630</v>
      </c>
    </row>
    <row r="31" ht="12.75">
      <c r="A31" s="459" t="s">
        <v>631</v>
      </c>
    </row>
    <row r="32" ht="12.75">
      <c r="A32" t="s">
        <v>632</v>
      </c>
    </row>
    <row r="33" ht="12.75">
      <c r="A33" s="459" t="s">
        <v>682</v>
      </c>
    </row>
    <row r="34" ht="12.75">
      <c r="A34" t="s">
        <v>633</v>
      </c>
    </row>
    <row r="35" ht="12.75">
      <c r="A35" t="s">
        <v>634</v>
      </c>
    </row>
    <row r="38" ht="12.75">
      <c r="A38" s="257" t="s">
        <v>428</v>
      </c>
    </row>
    <row r="39" ht="12.75">
      <c r="A39" s="257" t="s">
        <v>635</v>
      </c>
    </row>
    <row r="40" ht="12.75">
      <c r="A40" s="257" t="s">
        <v>636</v>
      </c>
    </row>
    <row r="41" ht="12.75">
      <c r="A41" s="257" t="s">
        <v>637</v>
      </c>
    </row>
    <row r="42" ht="12.75">
      <c r="A42" s="257" t="s">
        <v>638</v>
      </c>
    </row>
    <row r="43" ht="12.75">
      <c r="A43" s="257" t="s">
        <v>639</v>
      </c>
    </row>
    <row r="44" ht="12.75">
      <c r="A44" s="257" t="s">
        <v>645</v>
      </c>
    </row>
    <row r="45" ht="12.75">
      <c r="A45" s="257" t="s">
        <v>646</v>
      </c>
    </row>
    <row r="46" ht="12.75">
      <c r="A46" s="257" t="s">
        <v>640</v>
      </c>
    </row>
    <row r="47" ht="12.75">
      <c r="A47" s="257" t="s">
        <v>641</v>
      </c>
    </row>
    <row r="48" ht="12.75">
      <c r="A48" s="257" t="s">
        <v>642</v>
      </c>
    </row>
    <row r="49" ht="12.75">
      <c r="A49" s="257" t="s">
        <v>643</v>
      </c>
    </row>
    <row r="50" ht="12.75">
      <c r="A50" s="257" t="s">
        <v>644</v>
      </c>
    </row>
  </sheetData>
  <mergeCells count="1">
    <mergeCell ref="A2:H2"/>
  </mergeCells>
  <printOptions/>
  <pageMargins left="0.3937007874015748" right="0.3937007874015748" top="0.7874015748031497" bottom="0.7874015748031497" header="0.31496062992125984" footer="0.31496062992125984"/>
  <pageSetup orientation="portrait" paperSize="9" r:id="rId1"/>
  <headerFooter alignWithMargins="0">
    <oddFooter>&amp;R&amp;"Arial,Italique"&amp;8 2 -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E35" sqref="E35"/>
    </sheetView>
  </sheetViews>
  <sheetFormatPr defaultColWidth="11.421875" defaultRowHeight="12.75"/>
  <cols>
    <col min="1" max="1" width="13.140625" style="0" customWidth="1"/>
    <col min="2" max="2" width="56.28125" style="0" customWidth="1"/>
    <col min="3" max="3" width="14.140625" style="0" customWidth="1"/>
    <col min="4" max="4" width="15.140625" style="0" customWidth="1"/>
    <col min="5" max="5" width="11.7109375" style="0" bestFit="1" customWidth="1"/>
  </cols>
  <sheetData>
    <row r="1" spans="1:4" ht="12.75">
      <c r="A1" s="483" t="s">
        <v>341</v>
      </c>
      <c r="B1" s="483"/>
      <c r="C1" s="483"/>
      <c r="D1" s="483"/>
    </row>
    <row r="2" ht="13.5" thickBot="1"/>
    <row r="3" spans="1:4" ht="13.5" thickTop="1">
      <c r="A3" s="30" t="s">
        <v>360</v>
      </c>
      <c r="B3" s="180" t="s">
        <v>24</v>
      </c>
      <c r="C3" s="481" t="s">
        <v>25</v>
      </c>
      <c r="D3" s="482"/>
    </row>
    <row r="4" spans="1:4" ht="12.75">
      <c r="A4" s="22" t="s">
        <v>361</v>
      </c>
      <c r="B4" s="185" t="s">
        <v>362</v>
      </c>
      <c r="C4" s="9" t="s">
        <v>26</v>
      </c>
      <c r="D4" s="31" t="s">
        <v>27</v>
      </c>
    </row>
    <row r="5" spans="1:4" ht="12.75">
      <c r="A5" s="17">
        <v>1010000</v>
      </c>
      <c r="B5" s="14" t="s">
        <v>28</v>
      </c>
      <c r="C5" s="29"/>
      <c r="D5" s="27">
        <v>175000</v>
      </c>
    </row>
    <row r="6" spans="1:4" ht="12.75">
      <c r="A6" s="17">
        <v>1061000</v>
      </c>
      <c r="B6" s="14" t="s">
        <v>85</v>
      </c>
      <c r="C6" s="29"/>
      <c r="D6" s="27">
        <v>8759</v>
      </c>
    </row>
    <row r="7" spans="1:5" ht="12.75">
      <c r="A7" s="17">
        <v>1068000</v>
      </c>
      <c r="B7" s="14" t="s">
        <v>354</v>
      </c>
      <c r="C7" s="29"/>
      <c r="D7" s="27">
        <v>78160</v>
      </c>
      <c r="E7" s="2"/>
    </row>
    <row r="8" spans="1:4" ht="12.75">
      <c r="A8" s="17">
        <v>1100000</v>
      </c>
      <c r="B8" s="14" t="s">
        <v>86</v>
      </c>
      <c r="C8" s="29"/>
      <c r="D8" s="27">
        <v>2111</v>
      </c>
    </row>
    <row r="9" spans="1:4" ht="12.75">
      <c r="A9" s="17">
        <v>1450000</v>
      </c>
      <c r="B9" s="14" t="s">
        <v>356</v>
      </c>
      <c r="C9" s="29"/>
      <c r="D9" s="27">
        <f>Présentation!Q11-Présentation!Q10+Présentation!Q14-Présentation!Q13+Présentation!Q16-Présentation!Q15+Présentation!Q18-Présentation!Q17+Présentation!Q21-Présentation!Q20+Présentation!Q23-Présentation!Q22</f>
        <v>6272.311111111112</v>
      </c>
    </row>
    <row r="10" spans="1:4" ht="12.75">
      <c r="A10" s="17">
        <v>1511000</v>
      </c>
      <c r="B10" s="14" t="s">
        <v>87</v>
      </c>
      <c r="C10" s="29"/>
      <c r="D10" s="27">
        <v>3750</v>
      </c>
    </row>
    <row r="11" spans="1:4" ht="12.75">
      <c r="A11" s="17">
        <v>1640000</v>
      </c>
      <c r="B11" s="14" t="s">
        <v>29</v>
      </c>
      <c r="C11" s="29"/>
      <c r="D11" s="27">
        <v>152000</v>
      </c>
    </row>
    <row r="12" spans="1:4" ht="12.75">
      <c r="A12" s="17">
        <v>2050010</v>
      </c>
      <c r="B12" s="14" t="s">
        <v>334</v>
      </c>
      <c r="C12" s="29">
        <f>Présentation!D20</f>
        <v>600</v>
      </c>
      <c r="D12" s="27"/>
    </row>
    <row r="13" spans="1:4" ht="12.75">
      <c r="A13" s="17">
        <v>2050020</v>
      </c>
      <c r="B13" s="14" t="s">
        <v>335</v>
      </c>
      <c r="C13" s="29">
        <f>Présentation!D22</f>
        <v>900</v>
      </c>
      <c r="D13" s="27"/>
    </row>
    <row r="14" spans="1:4" ht="12.75">
      <c r="A14" s="17">
        <v>2130100</v>
      </c>
      <c r="B14" s="14" t="s">
        <v>336</v>
      </c>
      <c r="C14" s="29">
        <f>Présentation!D8</f>
        <v>490000</v>
      </c>
      <c r="D14" s="27"/>
    </row>
    <row r="15" spans="1:4" ht="12.75">
      <c r="A15" s="17">
        <v>2130520</v>
      </c>
      <c r="B15" s="14" t="s">
        <v>337</v>
      </c>
      <c r="C15" s="29">
        <f>Présentation!D9</f>
        <v>70000</v>
      </c>
      <c r="D15" s="27"/>
    </row>
    <row r="16" spans="1:4" ht="12.75">
      <c r="A16" s="17">
        <v>2151100</v>
      </c>
      <c r="B16" s="14" t="s">
        <v>338</v>
      </c>
      <c r="C16" s="29">
        <f>Présentation!D10</f>
        <v>19800</v>
      </c>
      <c r="D16" s="27"/>
    </row>
    <row r="17" spans="1:4" ht="12.75">
      <c r="A17" s="17">
        <v>2154100</v>
      </c>
      <c r="B17" s="14" t="s">
        <v>339</v>
      </c>
      <c r="C17" s="29">
        <f>Présentation!D12</f>
        <v>8400</v>
      </c>
      <c r="D17" s="27"/>
    </row>
    <row r="18" spans="1:4" ht="12.75">
      <c r="A18" s="17">
        <v>2154300</v>
      </c>
      <c r="B18" s="14" t="s">
        <v>340</v>
      </c>
      <c r="C18" s="29">
        <f>Présentation!D13</f>
        <v>9600</v>
      </c>
      <c r="D18" s="27"/>
    </row>
    <row r="19" spans="1:4" ht="12.75">
      <c r="A19" s="17">
        <v>2154300</v>
      </c>
      <c r="B19" s="14" t="s">
        <v>346</v>
      </c>
      <c r="C19" s="29">
        <f>Présentation!N50</f>
        <v>21000</v>
      </c>
      <c r="D19" s="27"/>
    </row>
    <row r="20" spans="1:4" ht="12.75">
      <c r="A20" s="17">
        <v>2182100</v>
      </c>
      <c r="B20" s="14" t="s">
        <v>342</v>
      </c>
      <c r="C20" s="29">
        <v>12000</v>
      </c>
      <c r="D20" s="27"/>
    </row>
    <row r="21" spans="1:4" ht="12.75">
      <c r="A21" s="17">
        <v>2182200</v>
      </c>
      <c r="B21" s="14" t="s">
        <v>343</v>
      </c>
      <c r="C21" s="29">
        <f>Présentation!D48</f>
        <v>9000</v>
      </c>
      <c r="D21" s="27"/>
    </row>
    <row r="22" spans="1:4" ht="12.75">
      <c r="A22" s="17">
        <v>2183510</v>
      </c>
      <c r="B22" s="14" t="s">
        <v>344</v>
      </c>
      <c r="C22" s="29">
        <f>Présentation!D17</f>
        <v>1240</v>
      </c>
      <c r="D22" s="27"/>
    </row>
    <row r="23" spans="1:4" ht="12.75">
      <c r="A23" s="17">
        <v>2183520</v>
      </c>
      <c r="B23" s="14" t="s">
        <v>345</v>
      </c>
      <c r="C23" s="29">
        <f>Présentation!D19</f>
        <v>600</v>
      </c>
      <c r="D23" s="27"/>
    </row>
    <row r="24" spans="1:5" ht="12.75">
      <c r="A24" s="17">
        <v>2740000</v>
      </c>
      <c r="B24" s="14" t="s">
        <v>88</v>
      </c>
      <c r="C24" s="29">
        <v>15000</v>
      </c>
      <c r="D24" s="27"/>
      <c r="E24" s="2"/>
    </row>
    <row r="25" spans="1:4" ht="12.75">
      <c r="A25" s="17">
        <v>2805001</v>
      </c>
      <c r="B25" s="14" t="s">
        <v>478</v>
      </c>
      <c r="C25" s="29"/>
      <c r="D25" s="27">
        <f>Présentation!Q20</f>
        <v>362.5</v>
      </c>
    </row>
    <row r="26" spans="1:4" ht="12.75">
      <c r="A26" s="17">
        <v>2805002</v>
      </c>
      <c r="B26" s="14" t="s">
        <v>479</v>
      </c>
      <c r="C26" s="29"/>
      <c r="D26" s="27">
        <f>Présentation!Q22</f>
        <v>150</v>
      </c>
    </row>
    <row r="27" spans="1:4" ht="12.75">
      <c r="A27" s="17">
        <v>2813010</v>
      </c>
      <c r="B27" s="14" t="s">
        <v>480</v>
      </c>
      <c r="C27" s="29"/>
      <c r="D27" s="27">
        <f>Présentation!Q8</f>
        <v>122500</v>
      </c>
    </row>
    <row r="28" spans="1:4" ht="12.75">
      <c r="A28" s="17">
        <v>2813052</v>
      </c>
      <c r="B28" s="14" t="s">
        <v>481</v>
      </c>
      <c r="C28" s="29"/>
      <c r="D28" s="27">
        <f>Présentation!Q9</f>
        <v>27500</v>
      </c>
    </row>
    <row r="29" spans="1:4" ht="12.75">
      <c r="A29" s="17">
        <v>2815110</v>
      </c>
      <c r="B29" s="14" t="s">
        <v>482</v>
      </c>
      <c r="C29" s="29"/>
      <c r="D29" s="27">
        <f>Présentation!Q10</f>
        <v>6256.25</v>
      </c>
    </row>
    <row r="30" spans="1:4" ht="12.75">
      <c r="A30" s="17">
        <v>2815410</v>
      </c>
      <c r="B30" s="14" t="s">
        <v>483</v>
      </c>
      <c r="C30" s="29"/>
      <c r="D30" s="27">
        <f>Présentation!Q12</f>
        <v>3360</v>
      </c>
    </row>
    <row r="31" spans="1:4" ht="12.75">
      <c r="A31" s="17">
        <v>2815430</v>
      </c>
      <c r="B31" s="14" t="s">
        <v>484</v>
      </c>
      <c r="C31" s="29"/>
      <c r="D31" s="27">
        <f>Présentation!Q13</f>
        <v>5200</v>
      </c>
    </row>
    <row r="32" spans="1:4" ht="12.75">
      <c r="A32" s="17">
        <v>2818210</v>
      </c>
      <c r="B32" s="14" t="s">
        <v>485</v>
      </c>
      <c r="C32" s="29"/>
      <c r="D32" s="27">
        <f>Présentation!Q15</f>
        <v>3300</v>
      </c>
    </row>
    <row r="33" spans="1:4" ht="12.75">
      <c r="A33" s="17">
        <v>2818351</v>
      </c>
      <c r="B33" s="14" t="s">
        <v>486</v>
      </c>
      <c r="C33" s="29"/>
      <c r="D33" s="27">
        <f>Présentation!Q17</f>
        <v>766.3888888888889</v>
      </c>
    </row>
    <row r="34" spans="1:5" ht="12.75">
      <c r="A34" s="17">
        <v>2818352</v>
      </c>
      <c r="B34" s="14" t="s">
        <v>487</v>
      </c>
      <c r="C34" s="29"/>
      <c r="D34" s="27">
        <f>Présentation!Q19</f>
        <v>370.8333333333333</v>
      </c>
      <c r="E34" s="2"/>
    </row>
    <row r="35" spans="1:6" ht="12.75">
      <c r="A35" s="17">
        <v>2915410</v>
      </c>
      <c r="B35" s="14" t="s">
        <v>333</v>
      </c>
      <c r="C35" s="29"/>
      <c r="D35" s="27">
        <v>1140</v>
      </c>
      <c r="E35" s="2"/>
      <c r="F35" s="2"/>
    </row>
    <row r="36" spans="1:4" ht="12.75">
      <c r="A36" s="17">
        <v>3110000</v>
      </c>
      <c r="B36" s="14" t="s">
        <v>347</v>
      </c>
      <c r="C36" s="29">
        <v>18515.85</v>
      </c>
      <c r="D36" s="27"/>
    </row>
    <row r="37" spans="1:4" ht="12.75">
      <c r="A37" s="17">
        <v>3120000</v>
      </c>
      <c r="B37" s="14" t="s">
        <v>352</v>
      </c>
      <c r="C37" s="29">
        <v>7815.15</v>
      </c>
      <c r="D37" s="27"/>
    </row>
    <row r="38" spans="1:4" ht="12.75">
      <c r="A38" s="17">
        <v>3550000</v>
      </c>
      <c r="B38" s="14" t="s">
        <v>358</v>
      </c>
      <c r="C38" s="29">
        <v>25655.74</v>
      </c>
      <c r="D38" s="27"/>
    </row>
    <row r="39" spans="1:4" ht="12.75">
      <c r="A39" s="17">
        <v>3911000</v>
      </c>
      <c r="B39" s="14" t="s">
        <v>359</v>
      </c>
      <c r="C39" s="29"/>
      <c r="D39" s="27">
        <v>1750</v>
      </c>
    </row>
    <row r="40" spans="1:4" ht="12.75">
      <c r="A40" s="17">
        <v>4010000</v>
      </c>
      <c r="B40" s="14" t="s">
        <v>30</v>
      </c>
      <c r="C40" s="29"/>
      <c r="D40" s="27">
        <v>77857.55</v>
      </c>
    </row>
    <row r="41" spans="1:4" ht="12.75">
      <c r="A41" s="17">
        <v>4030000</v>
      </c>
      <c r="B41" s="14" t="s">
        <v>31</v>
      </c>
      <c r="C41" s="29"/>
      <c r="D41" s="27">
        <v>12585.45</v>
      </c>
    </row>
    <row r="42" spans="1:4" ht="12.75">
      <c r="A42" s="17">
        <v>4110000</v>
      </c>
      <c r="B42" s="14" t="s">
        <v>348</v>
      </c>
      <c r="C42" s="29">
        <v>123785</v>
      </c>
      <c r="D42" s="27"/>
    </row>
    <row r="43" spans="1:4" ht="12.75">
      <c r="A43" s="17">
        <v>4210000</v>
      </c>
      <c r="B43" s="14" t="s">
        <v>32</v>
      </c>
      <c r="C43" s="29"/>
      <c r="D43" s="27">
        <v>8155</v>
      </c>
    </row>
    <row r="44" spans="1:4" ht="12.75">
      <c r="A44" s="17">
        <v>4310000</v>
      </c>
      <c r="B44" s="14" t="s">
        <v>33</v>
      </c>
      <c r="C44" s="29"/>
      <c r="D44" s="27">
        <v>21415</v>
      </c>
    </row>
    <row r="45" spans="1:4" ht="12.75">
      <c r="A45" s="17">
        <v>4440000</v>
      </c>
      <c r="B45" s="14" t="s">
        <v>578</v>
      </c>
      <c r="C45" s="29">
        <v>22750</v>
      </c>
      <c r="D45" s="27"/>
    </row>
    <row r="46" spans="1:4" ht="12.75">
      <c r="A46" s="17">
        <v>4456600</v>
      </c>
      <c r="B46" s="14" t="s">
        <v>35</v>
      </c>
      <c r="C46" s="29">
        <v>1182.22</v>
      </c>
      <c r="D46" s="27"/>
    </row>
    <row r="47" spans="1:4" ht="12.75">
      <c r="A47" s="17">
        <v>4457100</v>
      </c>
      <c r="B47" s="14" t="s">
        <v>34</v>
      </c>
      <c r="C47" s="29"/>
      <c r="D47" s="27">
        <v>3155.75</v>
      </c>
    </row>
    <row r="48" spans="1:4" ht="12.75">
      <c r="A48" s="17">
        <v>5030000</v>
      </c>
      <c r="B48" s="14" t="s">
        <v>84</v>
      </c>
      <c r="C48" s="29">
        <v>3750</v>
      </c>
      <c r="D48" s="27"/>
    </row>
    <row r="49" spans="1:4" ht="12.75">
      <c r="A49" s="17">
        <v>5120000</v>
      </c>
      <c r="B49" s="14" t="s">
        <v>349</v>
      </c>
      <c r="C49" s="29">
        <v>13157.85</v>
      </c>
      <c r="D49" s="27"/>
    </row>
    <row r="50" spans="1:6" ht="12.75">
      <c r="A50" s="17">
        <v>5310000</v>
      </c>
      <c r="B50" s="14" t="s">
        <v>36</v>
      </c>
      <c r="C50" s="29">
        <v>657.93</v>
      </c>
      <c r="D50" s="27"/>
      <c r="F50" s="2"/>
    </row>
    <row r="51" spans="1:6" ht="12.75">
      <c r="A51" s="17">
        <v>6010000</v>
      </c>
      <c r="B51" s="14" t="s">
        <v>37</v>
      </c>
      <c r="C51" s="29">
        <v>292876.8</v>
      </c>
      <c r="D51" s="27"/>
      <c r="F51" s="2"/>
    </row>
    <row r="52" spans="1:4" ht="12.75">
      <c r="A52" s="17">
        <v>6020000</v>
      </c>
      <c r="B52" s="14" t="s">
        <v>353</v>
      </c>
      <c r="C52" s="29">
        <v>58719.19</v>
      </c>
      <c r="D52" s="27"/>
    </row>
    <row r="53" spans="1:4" ht="12.75">
      <c r="A53" s="17">
        <v>6060000</v>
      </c>
      <c r="B53" s="14" t="s">
        <v>596</v>
      </c>
      <c r="C53" s="29">
        <v>18014.62</v>
      </c>
      <c r="D53" s="27"/>
    </row>
    <row r="54" spans="1:4" ht="12.75">
      <c r="A54" s="17">
        <v>6091000</v>
      </c>
      <c r="B54" s="14" t="s">
        <v>38</v>
      </c>
      <c r="C54" s="29"/>
      <c r="D54" s="27">
        <v>7192.8</v>
      </c>
    </row>
    <row r="55" spans="1:4" ht="12.75">
      <c r="A55" s="17">
        <v>6120000</v>
      </c>
      <c r="B55" s="14" t="s">
        <v>39</v>
      </c>
      <c r="C55" s="29">
        <v>16200</v>
      </c>
      <c r="D55" s="27"/>
    </row>
    <row r="56" spans="1:4" ht="12.75">
      <c r="A56" s="17">
        <v>6130000</v>
      </c>
      <c r="B56" s="14" t="s">
        <v>89</v>
      </c>
      <c r="C56" s="29">
        <v>66600</v>
      </c>
      <c r="D56" s="27"/>
    </row>
    <row r="57" spans="1:4" ht="12.75">
      <c r="A57" s="17">
        <v>6140000</v>
      </c>
      <c r="B57" s="14" t="s">
        <v>95</v>
      </c>
      <c r="C57" s="29">
        <v>4768</v>
      </c>
      <c r="D57" s="27"/>
    </row>
    <row r="58" spans="1:4" ht="12.75">
      <c r="A58" s="17">
        <v>6150000</v>
      </c>
      <c r="B58" s="14" t="s">
        <v>40</v>
      </c>
      <c r="C58" s="29">
        <v>7750</v>
      </c>
      <c r="D58" s="27"/>
    </row>
    <row r="59" spans="1:4" ht="12.75">
      <c r="A59" s="17">
        <v>6160000</v>
      </c>
      <c r="B59" s="14" t="s">
        <v>41</v>
      </c>
      <c r="C59" s="29">
        <v>6850</v>
      </c>
      <c r="D59" s="27"/>
    </row>
    <row r="60" spans="1:4" ht="12.75">
      <c r="A60" s="186">
        <v>6180000</v>
      </c>
      <c r="B60" s="14" t="s">
        <v>90</v>
      </c>
      <c r="C60" s="29">
        <v>728</v>
      </c>
      <c r="D60" s="27"/>
    </row>
    <row r="61" spans="1:4" ht="12.75">
      <c r="A61" s="186">
        <v>6230000</v>
      </c>
      <c r="B61" s="14" t="s">
        <v>91</v>
      </c>
      <c r="C61" s="29">
        <v>782.8</v>
      </c>
      <c r="D61" s="27"/>
    </row>
    <row r="62" spans="1:4" ht="12.75">
      <c r="A62" s="186">
        <v>6260000</v>
      </c>
      <c r="B62" s="14" t="s">
        <v>42</v>
      </c>
      <c r="C62" s="29">
        <v>1097</v>
      </c>
      <c r="D62" s="27"/>
    </row>
    <row r="63" spans="1:4" ht="12.75">
      <c r="A63" s="186">
        <v>6270000</v>
      </c>
      <c r="B63" s="14" t="s">
        <v>43</v>
      </c>
      <c r="C63" s="29">
        <v>2143.8</v>
      </c>
      <c r="D63" s="27"/>
    </row>
    <row r="64" spans="1:4" ht="12.75">
      <c r="A64" s="186">
        <v>6310000</v>
      </c>
      <c r="B64" s="14" t="s">
        <v>93</v>
      </c>
      <c r="C64" s="29">
        <v>4159.6</v>
      </c>
      <c r="D64" s="27"/>
    </row>
    <row r="65" spans="1:4" ht="12.75">
      <c r="A65" s="186">
        <v>6350000</v>
      </c>
      <c r="B65" s="14" t="s">
        <v>92</v>
      </c>
      <c r="C65" s="29">
        <v>9807</v>
      </c>
      <c r="D65" s="27"/>
    </row>
    <row r="66" spans="1:4" ht="12.75">
      <c r="A66" s="186">
        <v>6410000</v>
      </c>
      <c r="B66" s="14" t="s">
        <v>44</v>
      </c>
      <c r="C66" s="29">
        <v>340410.8</v>
      </c>
      <c r="D66" s="27"/>
    </row>
    <row r="67" spans="1:4" ht="12.75">
      <c r="A67" s="186">
        <v>6450000</v>
      </c>
      <c r="B67" s="14" t="s">
        <v>45</v>
      </c>
      <c r="C67" s="29">
        <v>167425</v>
      </c>
      <c r="D67" s="27"/>
    </row>
    <row r="68" spans="1:4" ht="12.75">
      <c r="A68" s="186">
        <v>6610000</v>
      </c>
      <c r="B68" s="14" t="s">
        <v>46</v>
      </c>
      <c r="C68" s="29">
        <v>8107.6</v>
      </c>
      <c r="D68" s="27"/>
    </row>
    <row r="69" spans="1:4" ht="12.75">
      <c r="A69" s="186">
        <v>6650000</v>
      </c>
      <c r="B69" s="14" t="s">
        <v>351</v>
      </c>
      <c r="C69" s="29">
        <v>2881.62</v>
      </c>
      <c r="D69" s="27"/>
    </row>
    <row r="70" spans="1:4" ht="12.75">
      <c r="A70" s="186">
        <v>6710000</v>
      </c>
      <c r="B70" s="14" t="s">
        <v>97</v>
      </c>
      <c r="C70" s="29">
        <v>2127.6</v>
      </c>
      <c r="D70" s="27"/>
    </row>
    <row r="71" spans="1:5" ht="12.75">
      <c r="A71" s="186">
        <v>7010000</v>
      </c>
      <c r="B71" s="14" t="s">
        <v>350</v>
      </c>
      <c r="C71" s="29"/>
      <c r="D71" s="27">
        <v>1149540.95</v>
      </c>
      <c r="E71" s="2"/>
    </row>
    <row r="72" spans="1:4" ht="12.75">
      <c r="A72" s="186">
        <v>7080000</v>
      </c>
      <c r="B72" s="14" t="s">
        <v>96</v>
      </c>
      <c r="C72" s="29"/>
      <c r="D72" s="27">
        <v>3416.12</v>
      </c>
    </row>
    <row r="73" spans="1:4" ht="12.75">
      <c r="A73" s="186">
        <v>7091000</v>
      </c>
      <c r="B73" s="14" t="s">
        <v>355</v>
      </c>
      <c r="C73" s="29">
        <v>6235.66</v>
      </c>
      <c r="D73" s="27"/>
    </row>
    <row r="74" spans="1:4" ht="12.75">
      <c r="A74" s="186">
        <v>7520000</v>
      </c>
      <c r="B74" s="14" t="s">
        <v>599</v>
      </c>
      <c r="C74" s="29"/>
      <c r="D74" s="27">
        <f>2400</f>
        <v>2400</v>
      </c>
    </row>
    <row r="75" spans="1:4" ht="12.75">
      <c r="A75" s="186">
        <v>7580000</v>
      </c>
      <c r="B75" s="14" t="s">
        <v>47</v>
      </c>
      <c r="C75" s="29"/>
      <c r="D75" s="27">
        <v>189.6</v>
      </c>
    </row>
    <row r="76" spans="1:4" ht="12.75">
      <c r="A76" s="186">
        <v>7650000</v>
      </c>
      <c r="B76" s="14" t="s">
        <v>48</v>
      </c>
      <c r="C76" s="29"/>
      <c r="D76" s="27">
        <v>4123.78</v>
      </c>
    </row>
    <row r="77" spans="1:4" ht="12.75">
      <c r="A77" s="17">
        <v>7710000</v>
      </c>
      <c r="B77" s="14" t="s">
        <v>494</v>
      </c>
      <c r="C77" s="29"/>
      <c r="D77" s="27">
        <v>354.55</v>
      </c>
    </row>
    <row r="78" spans="1:4" ht="12.75">
      <c r="A78" s="17">
        <v>7750000</v>
      </c>
      <c r="B78" s="14" t="s">
        <v>451</v>
      </c>
      <c r="C78" s="29"/>
      <c r="D78" s="27">
        <v>4000</v>
      </c>
    </row>
    <row r="79" spans="1:6" ht="13.5" thickBot="1">
      <c r="A79" s="28"/>
      <c r="B79" s="32" t="s">
        <v>49</v>
      </c>
      <c r="C79" s="33">
        <f>SUM(C5:C50)+SUM(C51:C77)</f>
        <v>1893094.8299999998</v>
      </c>
      <c r="D79" s="34">
        <f>SUM(D5:D50)+SUM(D51:D78)</f>
        <v>1893094.8333333337</v>
      </c>
      <c r="F79" s="2"/>
    </row>
    <row r="80" spans="1:4" ht="13.5" thickTop="1">
      <c r="A80" s="1"/>
      <c r="C80" s="2"/>
      <c r="D80" s="2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mergeCells count="2">
    <mergeCell ref="C3:D3"/>
    <mergeCell ref="A1:D1"/>
  </mergeCells>
  <printOptions horizontalCentered="1" verticalCentered="1"/>
  <pageMargins left="0.5905511811023623" right="0.5905511811023623" top="0.3937007874015748" bottom="0.7874015748031497" header="0.11811023622047245" footer="0.11811023622047245"/>
  <pageSetup fitToHeight="1" fitToWidth="1" horizontalDpi="600" verticalDpi="600" orientation="portrait" paperSize="9" scale="77" r:id="rId1"/>
  <headerFooter alignWithMargins="0">
    <oddFooter>&amp;R&amp;"Arial,Italique"&amp;8 3 -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 topLeftCell="A1">
      <selection activeCell="E42" sqref="E42"/>
    </sheetView>
  </sheetViews>
  <sheetFormatPr defaultColWidth="11.421875" defaultRowHeight="12.75"/>
  <cols>
    <col min="1" max="1" width="11.7109375" style="0" customWidth="1"/>
    <col min="2" max="2" width="12.8515625" style="0" customWidth="1"/>
    <col min="3" max="3" width="13.00390625" style="0" customWidth="1"/>
    <col min="4" max="4" width="17.28125" style="0" customWidth="1"/>
    <col min="5" max="5" width="12.28125" style="0" bestFit="1" customWidth="1"/>
    <col min="6" max="6" width="20.00390625" style="0" customWidth="1"/>
    <col min="7" max="7" width="12.140625" style="0" customWidth="1"/>
  </cols>
  <sheetData>
    <row r="1" spans="1:8" ht="18">
      <c r="A1" s="499" t="s">
        <v>503</v>
      </c>
      <c r="B1" s="499"/>
      <c r="C1" s="499"/>
      <c r="D1" s="499"/>
      <c r="E1" s="499"/>
      <c r="F1" s="499"/>
      <c r="G1" s="499"/>
      <c r="H1" s="499"/>
    </row>
    <row r="2" spans="1:8" ht="18.75" thickBot="1">
      <c r="A2" s="352"/>
      <c r="B2" s="353" t="s">
        <v>504</v>
      </c>
      <c r="C2" s="184"/>
      <c r="D2" s="184"/>
      <c r="E2" s="184"/>
      <c r="F2" s="184"/>
      <c r="G2" s="184"/>
      <c r="H2" s="184"/>
    </row>
    <row r="3" spans="1:9" ht="12.75">
      <c r="A3" s="258" t="s">
        <v>505</v>
      </c>
      <c r="B3" s="354" t="s">
        <v>343</v>
      </c>
      <c r="C3" s="40"/>
      <c r="D3" s="40" t="s">
        <v>506</v>
      </c>
      <c r="E3" s="355">
        <v>8</v>
      </c>
      <c r="F3" s="356" t="s">
        <v>507</v>
      </c>
      <c r="G3" s="40" t="s">
        <v>508</v>
      </c>
      <c r="H3" s="355">
        <v>5</v>
      </c>
      <c r="I3" s="259" t="s">
        <v>507</v>
      </c>
    </row>
    <row r="4" spans="1:9" ht="12.75">
      <c r="A4" s="234" t="s">
        <v>509</v>
      </c>
      <c r="C4" s="357">
        <v>39149</v>
      </c>
      <c r="D4" s="3"/>
      <c r="E4" s="3" t="s">
        <v>510</v>
      </c>
      <c r="F4" s="3"/>
      <c r="G4" s="358">
        <f>1/E3</f>
        <v>0.125</v>
      </c>
      <c r="H4" s="3"/>
      <c r="I4" s="261"/>
    </row>
    <row r="5" spans="1:9" ht="12.75">
      <c r="A5" s="234"/>
      <c r="B5" s="357"/>
      <c r="C5" s="359"/>
      <c r="D5" s="3"/>
      <c r="E5" s="3" t="s">
        <v>511</v>
      </c>
      <c r="F5" s="3"/>
      <c r="G5" s="358">
        <f>1/H3</f>
        <v>0.2</v>
      </c>
      <c r="H5" s="3"/>
      <c r="I5" s="261"/>
    </row>
    <row r="6" spans="1:9" ht="13.5" thickBot="1">
      <c r="A6" s="234" t="s">
        <v>512</v>
      </c>
      <c r="B6" s="3"/>
      <c r="C6" s="359"/>
      <c r="D6" s="360">
        <v>39154</v>
      </c>
      <c r="E6" s="3" t="s">
        <v>513</v>
      </c>
      <c r="F6" s="3"/>
      <c r="G6" s="474">
        <f>Présentation!D48</f>
        <v>9000</v>
      </c>
      <c r="H6" s="474"/>
      <c r="I6" s="261"/>
    </row>
    <row r="7" spans="1:9" ht="12.75">
      <c r="A7" s="189" t="s">
        <v>514</v>
      </c>
      <c r="B7" s="475" t="s">
        <v>515</v>
      </c>
      <c r="C7" s="510"/>
      <c r="D7" s="511"/>
      <c r="E7" s="475" t="s">
        <v>516</v>
      </c>
      <c r="F7" s="510"/>
      <c r="G7" s="511"/>
      <c r="H7" s="478" t="s">
        <v>517</v>
      </c>
      <c r="I7" s="511"/>
    </row>
    <row r="8" spans="1:9" ht="12.75">
      <c r="A8" s="232"/>
      <c r="B8" s="361" t="s">
        <v>518</v>
      </c>
      <c r="C8" s="185" t="s">
        <v>519</v>
      </c>
      <c r="D8" s="362" t="s">
        <v>520</v>
      </c>
      <c r="E8" s="361" t="s">
        <v>518</v>
      </c>
      <c r="F8" s="185" t="s">
        <v>519</v>
      </c>
      <c r="G8" s="362" t="s">
        <v>520</v>
      </c>
      <c r="H8" s="221" t="s">
        <v>521</v>
      </c>
      <c r="I8" s="362" t="s">
        <v>330</v>
      </c>
    </row>
    <row r="9" spans="1:9" ht="12.75">
      <c r="A9" s="363">
        <v>2007</v>
      </c>
      <c r="B9" s="364">
        <f>G6*G4*288/360</f>
        <v>900</v>
      </c>
      <c r="C9" s="281">
        <f>B9</f>
        <v>900</v>
      </c>
      <c r="D9" s="365">
        <f>G6-C9</f>
        <v>8100</v>
      </c>
      <c r="E9" s="364">
        <f>G6*G5*288/360</f>
        <v>1440</v>
      </c>
      <c r="F9" s="281">
        <f>E9</f>
        <v>1440</v>
      </c>
      <c r="G9" s="365">
        <f>G6-F9</f>
        <v>7560</v>
      </c>
      <c r="H9" s="366">
        <f>IF(E9&gt;B9,E9-B9,"")</f>
        <v>540</v>
      </c>
      <c r="I9" s="365">
        <f>IF(B9&gt;E9,B9-E9,"")</f>
      </c>
    </row>
    <row r="10" spans="1:9" ht="12.75">
      <c r="A10" s="363">
        <f aca="true" t="shared" si="0" ref="A10:A17">A9+1</f>
        <v>2008</v>
      </c>
      <c r="B10" s="367">
        <f aca="true" t="shared" si="1" ref="B10:B16">G$6*G$4</f>
        <v>1125</v>
      </c>
      <c r="C10" s="281">
        <f>C9+B10</f>
        <v>2025</v>
      </c>
      <c r="D10" s="365">
        <f>D9-B10</f>
        <v>6975</v>
      </c>
      <c r="E10" s="367">
        <f>G$6*G$5</f>
        <v>1800</v>
      </c>
      <c r="F10" s="281">
        <f>F9+E10</f>
        <v>3240</v>
      </c>
      <c r="G10" s="365">
        <f>G$6-F10</f>
        <v>5760</v>
      </c>
      <c r="H10" s="366">
        <f aca="true" t="shared" si="2" ref="H10:H17">IF(E10&gt;B10,E10-B10,"")</f>
        <v>675</v>
      </c>
      <c r="I10" s="365">
        <f aca="true" t="shared" si="3" ref="I10:I17">IF(B10&gt;E10,B10-E10,"")</f>
      </c>
    </row>
    <row r="11" spans="1:9" ht="12.75">
      <c r="A11" s="363">
        <f t="shared" si="0"/>
        <v>2009</v>
      </c>
      <c r="B11" s="367">
        <f t="shared" si="1"/>
        <v>1125</v>
      </c>
      <c r="C11" s="281">
        <f aca="true" t="shared" si="4" ref="C11:C17">C10+B11</f>
        <v>3150</v>
      </c>
      <c r="D11" s="365">
        <f aca="true" t="shared" si="5" ref="D11:D17">D10-B11</f>
        <v>5850</v>
      </c>
      <c r="E11" s="367">
        <f>G$6*G$5</f>
        <v>1800</v>
      </c>
      <c r="F11" s="281">
        <f>F10+E11</f>
        <v>5040</v>
      </c>
      <c r="G11" s="365">
        <f>G$6-F11</f>
        <v>3960</v>
      </c>
      <c r="H11" s="366">
        <f t="shared" si="2"/>
        <v>675</v>
      </c>
      <c r="I11" s="365">
        <f t="shared" si="3"/>
      </c>
    </row>
    <row r="12" spans="1:9" ht="12.75">
      <c r="A12" s="363">
        <f t="shared" si="0"/>
        <v>2010</v>
      </c>
      <c r="B12" s="367">
        <f t="shared" si="1"/>
        <v>1125</v>
      </c>
      <c r="C12" s="281">
        <f t="shared" si="4"/>
        <v>4275</v>
      </c>
      <c r="D12" s="365">
        <f t="shared" si="5"/>
        <v>4725</v>
      </c>
      <c r="E12" s="367">
        <f>G$6*G$5</f>
        <v>1800</v>
      </c>
      <c r="F12" s="281">
        <f>F11+E12</f>
        <v>6840</v>
      </c>
      <c r="G12" s="365">
        <f>G$6-F12</f>
        <v>2160</v>
      </c>
      <c r="H12" s="366">
        <f t="shared" si="2"/>
        <v>675</v>
      </c>
      <c r="I12" s="365">
        <f t="shared" si="3"/>
      </c>
    </row>
    <row r="13" spans="1:9" ht="12.75">
      <c r="A13" s="363">
        <f t="shared" si="0"/>
        <v>2011</v>
      </c>
      <c r="B13" s="367">
        <f t="shared" si="1"/>
        <v>1125</v>
      </c>
      <c r="C13" s="281">
        <f t="shared" si="4"/>
        <v>5400</v>
      </c>
      <c r="D13" s="365">
        <f t="shared" si="5"/>
        <v>3600</v>
      </c>
      <c r="E13" s="367">
        <f>G$6*G$5</f>
        <v>1800</v>
      </c>
      <c r="F13" s="281">
        <f>F12+E13</f>
        <v>8640</v>
      </c>
      <c r="G13" s="365">
        <f>G$6-F13</f>
        <v>360</v>
      </c>
      <c r="H13" s="366">
        <f t="shared" si="2"/>
        <v>675</v>
      </c>
      <c r="I13" s="365">
        <f t="shared" si="3"/>
      </c>
    </row>
    <row r="14" spans="1:9" ht="12.75">
      <c r="A14" s="363">
        <f t="shared" si="0"/>
        <v>2012</v>
      </c>
      <c r="B14" s="367">
        <f t="shared" si="1"/>
        <v>1125</v>
      </c>
      <c r="C14" s="281">
        <f t="shared" si="4"/>
        <v>6525</v>
      </c>
      <c r="D14" s="365">
        <f t="shared" si="5"/>
        <v>2475</v>
      </c>
      <c r="E14" s="367">
        <f>G$6*G$5*72/360</f>
        <v>360</v>
      </c>
      <c r="F14" s="281">
        <f>F13+E14</f>
        <v>9000</v>
      </c>
      <c r="G14" s="365">
        <f>G$6-F14</f>
        <v>0</v>
      </c>
      <c r="H14" s="366">
        <f t="shared" si="2"/>
      </c>
      <c r="I14" s="365">
        <f t="shared" si="3"/>
        <v>765</v>
      </c>
    </row>
    <row r="15" spans="1:9" ht="12.75">
      <c r="A15" s="363">
        <f t="shared" si="0"/>
        <v>2013</v>
      </c>
      <c r="B15" s="367">
        <f t="shared" si="1"/>
        <v>1125</v>
      </c>
      <c r="C15" s="281">
        <f t="shared" si="4"/>
        <v>7650</v>
      </c>
      <c r="D15" s="365">
        <f t="shared" si="5"/>
        <v>1350</v>
      </c>
      <c r="E15" s="367"/>
      <c r="F15" s="281"/>
      <c r="G15" s="365"/>
      <c r="H15" s="366">
        <f t="shared" si="2"/>
      </c>
      <c r="I15" s="365">
        <f t="shared" si="3"/>
        <v>1125</v>
      </c>
    </row>
    <row r="16" spans="1:9" ht="12.75">
      <c r="A16" s="363">
        <f t="shared" si="0"/>
        <v>2014</v>
      </c>
      <c r="B16" s="367">
        <f t="shared" si="1"/>
        <v>1125</v>
      </c>
      <c r="C16" s="281">
        <f t="shared" si="4"/>
        <v>8775</v>
      </c>
      <c r="D16" s="365">
        <f t="shared" si="5"/>
        <v>225</v>
      </c>
      <c r="E16" s="367"/>
      <c r="F16" s="281"/>
      <c r="G16" s="365"/>
      <c r="H16" s="366">
        <f t="shared" si="2"/>
      </c>
      <c r="I16" s="365">
        <f t="shared" si="3"/>
        <v>1125</v>
      </c>
    </row>
    <row r="17" spans="1:9" ht="12.75">
      <c r="A17" s="363">
        <f t="shared" si="0"/>
        <v>2015</v>
      </c>
      <c r="B17" s="367">
        <f>G$6*G$4*72/360</f>
        <v>225</v>
      </c>
      <c r="C17" s="281">
        <f t="shared" si="4"/>
        <v>9000</v>
      </c>
      <c r="D17" s="365">
        <f t="shared" si="5"/>
        <v>0</v>
      </c>
      <c r="E17" s="367"/>
      <c r="F17" s="281"/>
      <c r="G17" s="365"/>
      <c r="H17" s="366">
        <f t="shared" si="2"/>
      </c>
      <c r="I17" s="365">
        <f t="shared" si="3"/>
        <v>225</v>
      </c>
    </row>
    <row r="18" spans="1:9" ht="13.5" thickBot="1">
      <c r="A18" s="368"/>
      <c r="B18" s="369"/>
      <c r="C18" s="370"/>
      <c r="D18" s="371"/>
      <c r="E18" s="369"/>
      <c r="F18" s="370"/>
      <c r="G18" s="371"/>
      <c r="H18" s="372">
        <f>SUM(H9:H17)</f>
        <v>3240</v>
      </c>
      <c r="I18" s="373">
        <f>SUM(I10:I17)</f>
        <v>3240</v>
      </c>
    </row>
    <row r="19" spans="1:8" ht="13.5" thickBot="1">
      <c r="A19" s="271"/>
      <c r="B19" s="374"/>
      <c r="C19" s="374"/>
      <c r="D19" s="374"/>
      <c r="E19" s="374"/>
      <c r="F19" s="374"/>
      <c r="G19" s="374"/>
      <c r="H19" s="374"/>
    </row>
    <row r="20" spans="1:9" ht="12.75">
      <c r="A20" s="258" t="s">
        <v>505</v>
      </c>
      <c r="B20" s="354" t="s">
        <v>346</v>
      </c>
      <c r="C20" s="40"/>
      <c r="D20" s="40"/>
      <c r="E20" s="40" t="s">
        <v>522</v>
      </c>
      <c r="F20" s="355">
        <v>6</v>
      </c>
      <c r="G20" s="356" t="s">
        <v>507</v>
      </c>
      <c r="H20" s="40"/>
      <c r="I20" s="259"/>
    </row>
    <row r="21" spans="1:9" ht="12.75">
      <c r="A21" s="234" t="s">
        <v>509</v>
      </c>
      <c r="C21" s="357">
        <v>39275</v>
      </c>
      <c r="D21" s="3"/>
      <c r="E21" s="3" t="s">
        <v>523</v>
      </c>
      <c r="F21" s="3"/>
      <c r="G21" s="375">
        <f>1/F20</f>
        <v>0.16666666666666666</v>
      </c>
      <c r="H21" s="3"/>
      <c r="I21" s="261"/>
    </row>
    <row r="22" spans="1:9" ht="12.75">
      <c r="A22" s="234" t="s">
        <v>524</v>
      </c>
      <c r="B22" s="357"/>
      <c r="C22" s="359">
        <f>IF(F20&gt;6,2.25,IF(F20&lt;5,1.25,1.75))</f>
        <v>1.75</v>
      </c>
      <c r="D22" s="3"/>
      <c r="E22" s="3" t="s">
        <v>525</v>
      </c>
      <c r="F22" s="3"/>
      <c r="G22" s="375">
        <f>G21*C22</f>
        <v>0.29166666666666663</v>
      </c>
      <c r="H22" s="3"/>
      <c r="I22" s="261"/>
    </row>
    <row r="23" spans="1:9" ht="12.75">
      <c r="A23" s="234" t="s">
        <v>512</v>
      </c>
      <c r="B23" s="3"/>
      <c r="C23" s="359"/>
      <c r="D23" s="360">
        <v>39295</v>
      </c>
      <c r="E23" s="3" t="s">
        <v>513</v>
      </c>
      <c r="F23" s="3"/>
      <c r="G23" s="512">
        <f>Présentation!N50</f>
        <v>21000</v>
      </c>
      <c r="H23" s="512"/>
      <c r="I23" s="261"/>
    </row>
    <row r="24" spans="1:9" ht="12.75">
      <c r="A24" s="263" t="s">
        <v>514</v>
      </c>
      <c r="B24" s="513" t="s">
        <v>526</v>
      </c>
      <c r="C24" s="514"/>
      <c r="D24" s="515"/>
      <c r="E24" s="513" t="s">
        <v>527</v>
      </c>
      <c r="F24" s="514"/>
      <c r="G24" s="515"/>
      <c r="H24" s="490" t="s">
        <v>517</v>
      </c>
      <c r="I24" s="515"/>
    </row>
    <row r="25" spans="1:9" ht="12.75">
      <c r="A25" s="232"/>
      <c r="B25" s="361" t="s">
        <v>518</v>
      </c>
      <c r="C25" s="185" t="s">
        <v>519</v>
      </c>
      <c r="D25" s="362" t="s">
        <v>520</v>
      </c>
      <c r="E25" s="361" t="s">
        <v>518</v>
      </c>
      <c r="F25" s="185" t="s">
        <v>519</v>
      </c>
      <c r="G25" s="362" t="s">
        <v>520</v>
      </c>
      <c r="H25" s="221" t="s">
        <v>521</v>
      </c>
      <c r="I25" s="362" t="s">
        <v>330</v>
      </c>
    </row>
    <row r="26" spans="1:9" ht="12.75">
      <c r="A26" s="363">
        <v>2007</v>
      </c>
      <c r="B26" s="364">
        <f>G23*G21*150/360</f>
        <v>1458.3333333333333</v>
      </c>
      <c r="C26" s="281">
        <f>B26</f>
        <v>1458.3333333333333</v>
      </c>
      <c r="D26" s="365">
        <f>G23-C26</f>
        <v>19541.666666666668</v>
      </c>
      <c r="E26" s="364">
        <f>G23*G22*6/12</f>
        <v>3062.4999999999995</v>
      </c>
      <c r="F26" s="281">
        <f>E26</f>
        <v>3062.4999999999995</v>
      </c>
      <c r="G26" s="365">
        <f>G23-F26</f>
        <v>17937.5</v>
      </c>
      <c r="H26" s="366">
        <f>IF(E26&gt;B26,E26-B26,"")</f>
        <v>1604.1666666666663</v>
      </c>
      <c r="I26" s="365">
        <f>IF(E26&lt;B26,B26-E26,"")</f>
      </c>
    </row>
    <row r="27" spans="1:9" ht="12.75">
      <c r="A27" s="363">
        <f aca="true" t="shared" si="6" ref="A27:A32">A26+1</f>
        <v>2008</v>
      </c>
      <c r="B27" s="367">
        <f>G$23*G$21</f>
        <v>3500</v>
      </c>
      <c r="C27" s="281">
        <f aca="true" t="shared" si="7" ref="C27:C32">C26+B27</f>
        <v>4958.333333333333</v>
      </c>
      <c r="D27" s="365">
        <f aca="true" t="shared" si="8" ref="D27:D32">D26-B27</f>
        <v>16041.666666666668</v>
      </c>
      <c r="E27" s="367">
        <f>(G$23-F26)*G$22</f>
        <v>5231.770833333333</v>
      </c>
      <c r="F27" s="281">
        <f>F26+E27</f>
        <v>8294.270833333332</v>
      </c>
      <c r="G27" s="365">
        <f>G$23-F27</f>
        <v>12705.729166666668</v>
      </c>
      <c r="H27" s="366">
        <f aca="true" t="shared" si="9" ref="H27:H32">IF(E27&gt;B27,E27-B27,"")</f>
        <v>1731.770833333333</v>
      </c>
      <c r="I27" s="365">
        <f aca="true" t="shared" si="10" ref="I27:I32">IF(E27&lt;B27,B27-E27,"")</f>
      </c>
    </row>
    <row r="28" spans="1:9" ht="12.75">
      <c r="A28" s="363">
        <f t="shared" si="6"/>
        <v>2009</v>
      </c>
      <c r="B28" s="367">
        <f>G$23*G$21</f>
        <v>3500</v>
      </c>
      <c r="C28" s="281">
        <f t="shared" si="7"/>
        <v>8458.333333333332</v>
      </c>
      <c r="D28" s="365">
        <f t="shared" si="8"/>
        <v>12541.666666666668</v>
      </c>
      <c r="E28" s="367">
        <f>(G$23-F27)*G$22</f>
        <v>3705.837673611111</v>
      </c>
      <c r="F28" s="281">
        <f>F27+E28</f>
        <v>12000.108506944443</v>
      </c>
      <c r="G28" s="365">
        <f>G$23-F28</f>
        <v>8999.891493055557</v>
      </c>
      <c r="H28" s="366">
        <f t="shared" si="9"/>
        <v>205.83767361111086</v>
      </c>
      <c r="I28" s="365">
        <f t="shared" si="10"/>
      </c>
    </row>
    <row r="29" spans="1:9" ht="12.75">
      <c r="A29" s="363">
        <f t="shared" si="6"/>
        <v>2010</v>
      </c>
      <c r="B29" s="367">
        <f>G$23*G$21</f>
        <v>3500</v>
      </c>
      <c r="C29" s="281">
        <f t="shared" si="7"/>
        <v>11958.333333333332</v>
      </c>
      <c r="D29" s="365">
        <f t="shared" si="8"/>
        <v>9041.666666666668</v>
      </c>
      <c r="E29" s="367">
        <f>(G$23-F28)*1/3</f>
        <v>2999.9638310185187</v>
      </c>
      <c r="F29" s="281">
        <f>F28+E29</f>
        <v>15000.072337962962</v>
      </c>
      <c r="G29" s="365">
        <f>G$23-F29</f>
        <v>5999.927662037038</v>
      </c>
      <c r="H29" s="366">
        <f t="shared" si="9"/>
      </c>
      <c r="I29" s="365">
        <f t="shared" si="10"/>
        <v>500.0361689814813</v>
      </c>
    </row>
    <row r="30" spans="1:9" ht="12.75">
      <c r="A30" s="363">
        <f t="shared" si="6"/>
        <v>2011</v>
      </c>
      <c r="B30" s="367">
        <f>G$23*G$21</f>
        <v>3500</v>
      </c>
      <c r="C30" s="281">
        <f t="shared" si="7"/>
        <v>15458.333333333332</v>
      </c>
      <c r="D30" s="365">
        <f t="shared" si="8"/>
        <v>5541.666666666668</v>
      </c>
      <c r="E30" s="367">
        <f>(G$23-F29)*1/2</f>
        <v>2999.963831018519</v>
      </c>
      <c r="F30" s="281">
        <f>F29+E30</f>
        <v>18000.03616898148</v>
      </c>
      <c r="G30" s="365">
        <f>G$23-F30</f>
        <v>2999.9638310185182</v>
      </c>
      <c r="H30" s="366">
        <f t="shared" si="9"/>
      </c>
      <c r="I30" s="365">
        <f t="shared" si="10"/>
        <v>500.03616898148084</v>
      </c>
    </row>
    <row r="31" spans="1:9" ht="12.75">
      <c r="A31" s="363">
        <f t="shared" si="6"/>
        <v>2012</v>
      </c>
      <c r="B31" s="367">
        <f>G$23*G$21</f>
        <v>3500</v>
      </c>
      <c r="C31" s="281">
        <f t="shared" si="7"/>
        <v>18958.333333333332</v>
      </c>
      <c r="D31" s="365">
        <f t="shared" si="8"/>
        <v>2041.6666666666679</v>
      </c>
      <c r="E31" s="367">
        <f>(G$23-F30)</f>
        <v>2999.9638310185182</v>
      </c>
      <c r="F31" s="281">
        <f>F30+E31</f>
        <v>21000</v>
      </c>
      <c r="G31" s="365">
        <f>G$23-F31</f>
        <v>0</v>
      </c>
      <c r="H31" s="366">
        <f t="shared" si="9"/>
      </c>
      <c r="I31" s="365">
        <f t="shared" si="10"/>
        <v>500.03616898148175</v>
      </c>
    </row>
    <row r="32" spans="1:9" ht="12.75">
      <c r="A32" s="363">
        <f t="shared" si="6"/>
        <v>2013</v>
      </c>
      <c r="B32" s="367">
        <f>G$23*G$21*210/360</f>
        <v>2041.6666666666667</v>
      </c>
      <c r="C32" s="281">
        <f t="shared" si="7"/>
        <v>21000</v>
      </c>
      <c r="D32" s="365">
        <f t="shared" si="8"/>
        <v>0</v>
      </c>
      <c r="E32" s="367"/>
      <c r="F32" s="281"/>
      <c r="G32" s="365"/>
      <c r="H32" s="366">
        <f t="shared" si="9"/>
      </c>
      <c r="I32" s="365">
        <f t="shared" si="10"/>
        <v>2041.6666666666667</v>
      </c>
    </row>
    <row r="33" spans="1:9" ht="13.5" thickBot="1">
      <c r="A33" s="368"/>
      <c r="B33" s="369"/>
      <c r="C33" s="370"/>
      <c r="D33" s="371"/>
      <c r="E33" s="369"/>
      <c r="F33" s="370"/>
      <c r="G33" s="371"/>
      <c r="H33" s="372">
        <f>SUM(H26:H32)</f>
        <v>3541.77517361111</v>
      </c>
      <c r="I33" s="373">
        <f>SUM(I27:I32)</f>
        <v>3541.7751736111104</v>
      </c>
    </row>
    <row r="35" spans="1:8" ht="16.5" thickBot="1">
      <c r="A35" s="271"/>
      <c r="B35" s="353" t="s">
        <v>528</v>
      </c>
      <c r="C35" s="374"/>
      <c r="D35" s="374"/>
      <c r="E35" s="374"/>
      <c r="F35" s="374"/>
      <c r="G35" s="374"/>
      <c r="H35" s="374"/>
    </row>
    <row r="36" spans="1:8" ht="12.75">
      <c r="A36" s="258" t="s">
        <v>505</v>
      </c>
      <c r="B36" s="354" t="s">
        <v>339</v>
      </c>
      <c r="C36" s="40"/>
      <c r="D36" s="40"/>
      <c r="E36" s="40" t="s">
        <v>522</v>
      </c>
      <c r="F36" s="355">
        <v>10</v>
      </c>
      <c r="G36" s="356" t="s">
        <v>507</v>
      </c>
      <c r="H36" s="376"/>
    </row>
    <row r="37" spans="1:8" ht="12.75">
      <c r="A37" s="234" t="s">
        <v>509</v>
      </c>
      <c r="C37" s="357">
        <v>37622</v>
      </c>
      <c r="D37" s="3"/>
      <c r="E37" s="3" t="s">
        <v>523</v>
      </c>
      <c r="F37" s="3"/>
      <c r="G37" s="375">
        <f>1/F36</f>
        <v>0.1</v>
      </c>
      <c r="H37" s="377"/>
    </row>
    <row r="38" spans="1:8" ht="13.5" thickBot="1">
      <c r="A38" s="234" t="s">
        <v>512</v>
      </c>
      <c r="B38" s="3"/>
      <c r="C38" s="359"/>
      <c r="D38" s="360">
        <v>37622</v>
      </c>
      <c r="E38" s="3" t="s">
        <v>513</v>
      </c>
      <c r="F38" s="3"/>
      <c r="G38" s="265">
        <f>Présentation!D12</f>
        <v>8400</v>
      </c>
      <c r="H38" s="378"/>
    </row>
    <row r="39" spans="1:8" ht="13.5" thickBot="1">
      <c r="A39" s="379" t="s">
        <v>529</v>
      </c>
      <c r="B39" s="380" t="s">
        <v>530</v>
      </c>
      <c r="C39" s="516" t="s">
        <v>531</v>
      </c>
      <c r="D39" s="516"/>
      <c r="E39" s="516"/>
      <c r="F39" s="273"/>
      <c r="G39" s="380" t="s">
        <v>532</v>
      </c>
      <c r="H39" s="381" t="s">
        <v>533</v>
      </c>
    </row>
    <row r="40" spans="1:8" ht="12.75">
      <c r="A40" s="194">
        <v>2003</v>
      </c>
      <c r="B40" s="382">
        <f>G$38</f>
        <v>8400</v>
      </c>
      <c r="C40" s="477" t="s">
        <v>534</v>
      </c>
      <c r="D40" s="479"/>
      <c r="E40" s="244">
        <f>G$38*G$37</f>
        <v>840</v>
      </c>
      <c r="F40" s="244"/>
      <c r="G40" s="382">
        <f>E40</f>
        <v>840</v>
      </c>
      <c r="H40" s="383">
        <f>G$38-G40</f>
        <v>7560</v>
      </c>
    </row>
    <row r="41" spans="1:8" ht="12.75">
      <c r="A41" s="194">
        <f>A40+1</f>
        <v>2004</v>
      </c>
      <c r="B41" s="382">
        <f>G$38</f>
        <v>8400</v>
      </c>
      <c r="C41" s="489" t="s">
        <v>534</v>
      </c>
      <c r="D41" s="501"/>
      <c r="E41" s="244">
        <f>G$38*G$37</f>
        <v>840</v>
      </c>
      <c r="F41" s="244"/>
      <c r="G41" s="382">
        <f>G40+E41</f>
        <v>1680</v>
      </c>
      <c r="H41" s="383">
        <f>G$38-G41</f>
        <v>6720</v>
      </c>
    </row>
    <row r="42" spans="1:8" ht="12.75">
      <c r="A42" s="194">
        <f aca="true" t="shared" si="11" ref="A42:A50">A41+1</f>
        <v>2005</v>
      </c>
      <c r="B42" s="382">
        <f>G$38</f>
        <v>8400</v>
      </c>
      <c r="C42" s="489" t="s">
        <v>534</v>
      </c>
      <c r="D42" s="501"/>
      <c r="E42" s="244">
        <f>G$38*G$37</f>
        <v>840</v>
      </c>
      <c r="F42" s="244"/>
      <c r="G42" s="382">
        <f aca="true" t="shared" si="12" ref="G42:G50">G41+E42</f>
        <v>2520</v>
      </c>
      <c r="H42" s="383">
        <f>G$38-G42</f>
        <v>5880</v>
      </c>
    </row>
    <row r="43" spans="1:8" ht="12.75">
      <c r="A43" s="194">
        <f t="shared" si="11"/>
        <v>2006</v>
      </c>
      <c r="B43" s="382">
        <f>G$38</f>
        <v>8400</v>
      </c>
      <c r="C43" s="489" t="s">
        <v>534</v>
      </c>
      <c r="D43" s="501"/>
      <c r="E43" s="244">
        <f>G$38*G$37</f>
        <v>840</v>
      </c>
      <c r="F43" s="244"/>
      <c r="G43" s="382">
        <f t="shared" si="12"/>
        <v>3360</v>
      </c>
      <c r="H43" s="383">
        <f>G$38-G43</f>
        <v>5040</v>
      </c>
    </row>
    <row r="44" spans="1:8" ht="12.75">
      <c r="A44" s="194"/>
      <c r="B44" s="382"/>
      <c r="C44" s="517" t="s">
        <v>535</v>
      </c>
      <c r="D44" s="518"/>
      <c r="E44" s="518"/>
      <c r="F44" s="518"/>
      <c r="G44" s="518"/>
      <c r="H44" s="519"/>
    </row>
    <row r="45" spans="1:8" ht="12.75">
      <c r="A45" s="363">
        <f>A43+1</f>
        <v>2007</v>
      </c>
      <c r="B45" s="384">
        <v>3900</v>
      </c>
      <c r="C45" s="520" t="s">
        <v>536</v>
      </c>
      <c r="D45" s="521"/>
      <c r="E45" s="271">
        <f aca="true" t="shared" si="13" ref="E45:E50">ROUND(B45/6,2)</f>
        <v>650</v>
      </c>
      <c r="F45" s="271"/>
      <c r="G45" s="274">
        <f>G43+E45</f>
        <v>4010</v>
      </c>
      <c r="H45" s="385">
        <f>B45-E45</f>
        <v>3250</v>
      </c>
    </row>
    <row r="46" spans="1:8" ht="12.75">
      <c r="A46" s="363">
        <f t="shared" si="11"/>
        <v>2008</v>
      </c>
      <c r="B46" s="384">
        <v>3900</v>
      </c>
      <c r="C46" s="520" t="s">
        <v>536</v>
      </c>
      <c r="D46" s="521"/>
      <c r="E46" s="271">
        <f t="shared" si="13"/>
        <v>650</v>
      </c>
      <c r="F46" s="374"/>
      <c r="G46" s="274">
        <f t="shared" si="12"/>
        <v>4660</v>
      </c>
      <c r="H46" s="385">
        <f>H45-E46</f>
        <v>2600</v>
      </c>
    </row>
    <row r="47" spans="1:8" ht="12.75">
      <c r="A47" s="363">
        <f t="shared" si="11"/>
        <v>2009</v>
      </c>
      <c r="B47" s="384">
        <v>3900</v>
      </c>
      <c r="C47" s="520" t="s">
        <v>536</v>
      </c>
      <c r="D47" s="521"/>
      <c r="E47" s="271">
        <f t="shared" si="13"/>
        <v>650</v>
      </c>
      <c r="F47" s="374"/>
      <c r="G47" s="274">
        <f t="shared" si="12"/>
        <v>5310</v>
      </c>
      <c r="H47" s="385">
        <f>H46-E47</f>
        <v>1950</v>
      </c>
    </row>
    <row r="48" spans="1:8" ht="12.75">
      <c r="A48" s="363">
        <f t="shared" si="11"/>
        <v>2010</v>
      </c>
      <c r="B48" s="384">
        <v>3900</v>
      </c>
      <c r="C48" s="520" t="s">
        <v>536</v>
      </c>
      <c r="D48" s="521"/>
      <c r="E48" s="271">
        <f t="shared" si="13"/>
        <v>650</v>
      </c>
      <c r="F48" s="374"/>
      <c r="G48" s="274">
        <f t="shared" si="12"/>
        <v>5960</v>
      </c>
      <c r="H48" s="385">
        <f>H47-E48</f>
        <v>1300</v>
      </c>
    </row>
    <row r="49" spans="1:8" ht="12.75">
      <c r="A49" s="363">
        <f t="shared" si="11"/>
        <v>2011</v>
      </c>
      <c r="B49" s="384">
        <v>3900</v>
      </c>
      <c r="C49" s="520" t="s">
        <v>536</v>
      </c>
      <c r="D49" s="521"/>
      <c r="E49" s="271">
        <f t="shared" si="13"/>
        <v>650</v>
      </c>
      <c r="F49" s="374"/>
      <c r="G49" s="274">
        <f t="shared" si="12"/>
        <v>6610</v>
      </c>
      <c r="H49" s="385">
        <f>H48-E49</f>
        <v>650</v>
      </c>
    </row>
    <row r="50" spans="1:8" ht="13.5" thickBot="1">
      <c r="A50" s="386">
        <f t="shared" si="11"/>
        <v>2012</v>
      </c>
      <c r="B50" s="387">
        <v>3900</v>
      </c>
      <c r="C50" s="522" t="s">
        <v>536</v>
      </c>
      <c r="D50" s="523"/>
      <c r="E50" s="272">
        <f t="shared" si="13"/>
        <v>650</v>
      </c>
      <c r="F50" s="388"/>
      <c r="G50" s="389">
        <f t="shared" si="12"/>
        <v>7260</v>
      </c>
      <c r="H50" s="390">
        <f>H49-E50</f>
        <v>0</v>
      </c>
    </row>
    <row r="52" spans="1:8" ht="18">
      <c r="A52" s="499" t="s">
        <v>537</v>
      </c>
      <c r="B52" s="499"/>
      <c r="C52" s="499"/>
      <c r="D52" s="499"/>
      <c r="E52" s="499"/>
      <c r="F52" s="499"/>
      <c r="G52" s="499"/>
      <c r="H52" s="499"/>
    </row>
    <row r="53" spans="1:9" ht="12.75">
      <c r="A53" s="3"/>
      <c r="B53" s="3"/>
      <c r="C53" s="3"/>
      <c r="D53" s="524" t="s">
        <v>538</v>
      </c>
      <c r="E53" s="524"/>
      <c r="F53" s="525" t="s">
        <v>539</v>
      </c>
      <c r="G53" s="526"/>
      <c r="H53" s="527" t="s">
        <v>540</v>
      </c>
      <c r="I53" s="528"/>
    </row>
    <row r="54" spans="1:9" ht="13.5" thickBot="1">
      <c r="A54" s="18"/>
      <c r="B54" s="18"/>
      <c r="C54" s="18"/>
      <c r="D54" s="391"/>
      <c r="E54" s="391"/>
      <c r="F54" s="392"/>
      <c r="G54" s="393"/>
      <c r="H54" s="394" t="s">
        <v>541</v>
      </c>
      <c r="I54" s="395" t="s">
        <v>542</v>
      </c>
    </row>
    <row r="55" spans="1:9" ht="12.75">
      <c r="A55" s="396" t="s">
        <v>543</v>
      </c>
      <c r="C55" s="286"/>
      <c r="D55" s="397" t="s">
        <v>544</v>
      </c>
      <c r="E55" s="398">
        <f>(Présentation!D8-Présentation!O30)/17</f>
        <v>24500</v>
      </c>
      <c r="F55" s="399"/>
      <c r="G55" s="378">
        <f>E55</f>
        <v>24500</v>
      </c>
      <c r="H55" s="400"/>
      <c r="I55" s="401"/>
    </row>
    <row r="56" spans="1:9" ht="12.75">
      <c r="A56" s="396" t="s">
        <v>545</v>
      </c>
      <c r="C56" s="286"/>
      <c r="D56" s="397" t="s">
        <v>546</v>
      </c>
      <c r="E56" s="398">
        <f>(Présentation!D9-Présentation!O31)/7</f>
        <v>8500</v>
      </c>
      <c r="F56" s="399"/>
      <c r="G56" s="378">
        <f>E56</f>
        <v>8500</v>
      </c>
      <c r="H56" s="400"/>
      <c r="I56" s="401"/>
    </row>
    <row r="57" spans="1:9" ht="12.75">
      <c r="A57" s="396" t="s">
        <v>547</v>
      </c>
      <c r="C57" s="286"/>
      <c r="D57" s="397" t="s">
        <v>548</v>
      </c>
      <c r="E57" s="398">
        <f>Présentation!D10/Présentation!H10</f>
        <v>1650</v>
      </c>
      <c r="F57" s="399" t="s">
        <v>549</v>
      </c>
      <c r="G57" s="378">
        <f>Présentation!D10/Présentation!J11</f>
        <v>1980</v>
      </c>
      <c r="H57" s="367">
        <f>G57-E57</f>
        <v>330</v>
      </c>
      <c r="I57" s="401"/>
    </row>
    <row r="58" spans="1:9" ht="12.75">
      <c r="A58" s="396" t="s">
        <v>550</v>
      </c>
      <c r="C58" s="286"/>
      <c r="D58" s="397" t="s">
        <v>551</v>
      </c>
      <c r="E58" s="398">
        <f>B45/6</f>
        <v>650</v>
      </c>
      <c r="F58" s="399"/>
      <c r="G58" s="378">
        <f>E45</f>
        <v>650</v>
      </c>
      <c r="H58" s="400"/>
      <c r="I58" s="401"/>
    </row>
    <row r="59" spans="1:9" ht="12.75">
      <c r="A59" s="396" t="s">
        <v>552</v>
      </c>
      <c r="C59" s="286"/>
      <c r="D59" s="397" t="s">
        <v>553</v>
      </c>
      <c r="E59" s="398">
        <f>Présentation!D13/Présentation!H13*198/360</f>
        <v>1056</v>
      </c>
      <c r="F59" s="399" t="s">
        <v>573</v>
      </c>
      <c r="G59" s="378">
        <f>(Présentation!D13-Présentation!Q14)*50%*6/12</f>
        <v>747.8250000000002</v>
      </c>
      <c r="H59" s="400"/>
      <c r="I59" s="365">
        <f>E59-G59</f>
        <v>308.17499999999984</v>
      </c>
    </row>
    <row r="60" spans="1:9" ht="12.75">
      <c r="A60" s="396" t="s">
        <v>554</v>
      </c>
      <c r="C60" s="286"/>
      <c r="D60" s="397" t="s">
        <v>555</v>
      </c>
      <c r="E60" s="398">
        <f>B26</f>
        <v>1458.3333333333333</v>
      </c>
      <c r="F60" s="399" t="s">
        <v>556</v>
      </c>
      <c r="G60" s="378">
        <f>21000/6*1.75*6/12</f>
        <v>3062.5</v>
      </c>
      <c r="H60" s="367">
        <f>ROUND(G60-E60,2)</f>
        <v>1604.17</v>
      </c>
      <c r="I60" s="401"/>
    </row>
    <row r="61" spans="1:9" ht="12.75">
      <c r="A61" s="396" t="s">
        <v>557</v>
      </c>
      <c r="C61" s="286"/>
      <c r="D61" s="397" t="s">
        <v>558</v>
      </c>
      <c r="E61" s="398">
        <f>Présentation!D15*25000/200000</f>
        <v>1500</v>
      </c>
      <c r="F61" s="399" t="s">
        <v>559</v>
      </c>
      <c r="G61" s="378">
        <f>Présentation!D15/Présentation!J16</f>
        <v>2400</v>
      </c>
      <c r="H61" s="367">
        <f>G61-E61</f>
        <v>900</v>
      </c>
      <c r="I61" s="401"/>
    </row>
    <row r="62" spans="1:9" ht="12.75">
      <c r="A62" s="396" t="s">
        <v>560</v>
      </c>
      <c r="C62" s="286"/>
      <c r="D62" s="397" t="s">
        <v>561</v>
      </c>
      <c r="E62" s="398">
        <f>B9</f>
        <v>900</v>
      </c>
      <c r="F62" s="399" t="s">
        <v>562</v>
      </c>
      <c r="G62" s="378">
        <f>E9</f>
        <v>1440</v>
      </c>
      <c r="H62" s="367">
        <f>G62-E62</f>
        <v>540</v>
      </c>
      <c r="I62" s="401"/>
    </row>
    <row r="63" spans="1:9" ht="12.75">
      <c r="A63" s="396" t="s">
        <v>563</v>
      </c>
      <c r="C63" s="286"/>
      <c r="D63" s="397" t="s">
        <v>564</v>
      </c>
      <c r="E63" s="398">
        <f>Présentation!D19/Présentation!H19</f>
        <v>150</v>
      </c>
      <c r="F63" s="399"/>
      <c r="G63" s="378">
        <f>Présentation!D19/Présentation!J19</f>
        <v>150</v>
      </c>
      <c r="H63" s="400"/>
      <c r="I63" s="401"/>
    </row>
    <row r="64" spans="1:9" ht="12.75">
      <c r="A64" s="396" t="s">
        <v>565</v>
      </c>
      <c r="C64" s="286"/>
      <c r="D64" s="397" t="s">
        <v>566</v>
      </c>
      <c r="E64" s="398">
        <f>Présentation!D17/Présentation!H17</f>
        <v>310</v>
      </c>
      <c r="F64" s="399" t="s">
        <v>567</v>
      </c>
      <c r="G64" s="378">
        <f>Présentation!D17-Présentation!Q18</f>
        <v>348.75</v>
      </c>
      <c r="H64" s="367">
        <f>G64-E64</f>
        <v>38.75</v>
      </c>
      <c r="I64" s="401"/>
    </row>
    <row r="65" spans="1:9" ht="12.75">
      <c r="A65" s="396" t="s">
        <v>568</v>
      </c>
      <c r="B65" s="275"/>
      <c r="D65" s="397" t="s">
        <v>569</v>
      </c>
      <c r="E65" s="398">
        <f>Présentation!D20/Présentation!H20</f>
        <v>150</v>
      </c>
      <c r="F65" s="399"/>
      <c r="G65" s="378"/>
      <c r="H65" s="400"/>
      <c r="I65" s="365">
        <f>E65-G65</f>
        <v>150</v>
      </c>
    </row>
    <row r="66" spans="1:9" ht="12.75">
      <c r="A66" s="396" t="s">
        <v>570</v>
      </c>
      <c r="B66" s="275"/>
      <c r="D66" s="397" t="s">
        <v>571</v>
      </c>
      <c r="E66" s="398">
        <f>Présentation!D22/Présentation!H22</f>
        <v>225</v>
      </c>
      <c r="F66" s="399" t="s">
        <v>572</v>
      </c>
      <c r="G66" s="378">
        <f>Présentation!D22*100%*4/12</f>
        <v>300</v>
      </c>
      <c r="H66" s="367">
        <f>G66-E66</f>
        <v>75</v>
      </c>
      <c r="I66" s="401"/>
    </row>
    <row r="67" spans="5:9" ht="12.75">
      <c r="E67" s="402">
        <f>SUM(E55:E66)</f>
        <v>41049.333333333336</v>
      </c>
      <c r="F67" s="223"/>
      <c r="G67" s="402">
        <f>SUM(G55:G66)</f>
        <v>44079.075</v>
      </c>
      <c r="H67" s="305">
        <f>SUM(H55:H66)</f>
        <v>3487.92</v>
      </c>
      <c r="I67" s="402">
        <f>SUM(I55:I66)</f>
        <v>458.17499999999984</v>
      </c>
    </row>
    <row r="69" ht="12.75">
      <c r="A69" s="431" t="s">
        <v>588</v>
      </c>
    </row>
    <row r="70" spans="1:6" ht="14.25">
      <c r="A70" s="257" t="s">
        <v>579</v>
      </c>
      <c r="D70">
        <v>32000</v>
      </c>
      <c r="E70" s="435">
        <v>0.03</v>
      </c>
      <c r="F70">
        <v>5</v>
      </c>
    </row>
    <row r="71" spans="2:7" ht="14.25">
      <c r="B71" s="432" t="s">
        <v>585</v>
      </c>
      <c r="C71" s="434" t="s">
        <v>586</v>
      </c>
      <c r="D71" s="433"/>
      <c r="E71" s="295">
        <f>-PMT(E70,F70,D70)</f>
        <v>6987.346284818438</v>
      </c>
      <c r="F71" s="295"/>
      <c r="G71" s="275"/>
    </row>
    <row r="72" ht="12.75">
      <c r="A72" s="431" t="s">
        <v>12</v>
      </c>
    </row>
    <row r="73" ht="13.5" thickBot="1"/>
    <row r="74" spans="1:8" ht="12.75">
      <c r="A74" s="442" t="s">
        <v>580</v>
      </c>
      <c r="B74" s="443" t="s">
        <v>581</v>
      </c>
      <c r="C74" s="468" t="s">
        <v>582</v>
      </c>
      <c r="D74" s="469"/>
      <c r="E74" s="468" t="s">
        <v>583</v>
      </c>
      <c r="F74" s="469"/>
      <c r="G74" s="468" t="s">
        <v>584</v>
      </c>
      <c r="H74" s="470"/>
    </row>
    <row r="75" spans="1:8" ht="12.75">
      <c r="A75" s="444"/>
      <c r="B75" s="445" t="s">
        <v>587</v>
      </c>
      <c r="C75" s="446"/>
      <c r="D75" s="447"/>
      <c r="E75" s="448"/>
      <c r="F75" s="449"/>
      <c r="G75" s="446"/>
      <c r="H75" s="450"/>
    </row>
    <row r="76" spans="1:8" ht="12.75">
      <c r="A76" s="436">
        <v>39539</v>
      </c>
      <c r="B76" s="437">
        <f>D70</f>
        <v>32000</v>
      </c>
      <c r="C76" s="471">
        <f>B76*$E$70</f>
        <v>960</v>
      </c>
      <c r="D76" s="472"/>
      <c r="E76" s="471">
        <f>G76-C76</f>
        <v>6027.346284818438</v>
      </c>
      <c r="F76" s="472"/>
      <c r="G76" s="471">
        <f>$E$71</f>
        <v>6987.346284818438</v>
      </c>
      <c r="H76" s="473"/>
    </row>
    <row r="77" spans="1:8" ht="12.75">
      <c r="A77" s="438">
        <v>39904</v>
      </c>
      <c r="B77" s="439">
        <f>B76-E76</f>
        <v>25972.65371518156</v>
      </c>
      <c r="C77" s="484">
        <f>B77*$E$70</f>
        <v>779.1796114554468</v>
      </c>
      <c r="D77" s="485"/>
      <c r="E77" s="484">
        <f>G77-C77</f>
        <v>6208.166673362992</v>
      </c>
      <c r="F77" s="485"/>
      <c r="G77" s="484">
        <f>$E$71</f>
        <v>6987.346284818438</v>
      </c>
      <c r="H77" s="486"/>
    </row>
    <row r="78" spans="1:8" ht="12.75">
      <c r="A78" s="438">
        <v>40269</v>
      </c>
      <c r="B78" s="439">
        <f>B77-E77</f>
        <v>19764.487041818567</v>
      </c>
      <c r="C78" s="484">
        <f>B78*$E$70</f>
        <v>592.934611254557</v>
      </c>
      <c r="D78" s="485"/>
      <c r="E78" s="484">
        <f>G78-C78</f>
        <v>6394.411673563881</v>
      </c>
      <c r="F78" s="485"/>
      <c r="G78" s="484">
        <f>$E$71</f>
        <v>6987.346284818438</v>
      </c>
      <c r="H78" s="486"/>
    </row>
    <row r="79" spans="1:8" ht="12.75">
      <c r="A79" s="438">
        <v>40634</v>
      </c>
      <c r="B79" s="439">
        <f>B78-E78</f>
        <v>13370.075368254686</v>
      </c>
      <c r="C79" s="484">
        <f>B79*$E$70</f>
        <v>401.1022610476405</v>
      </c>
      <c r="D79" s="485"/>
      <c r="E79" s="484">
        <f>G79-C79</f>
        <v>6586.244023770798</v>
      </c>
      <c r="F79" s="485"/>
      <c r="G79" s="484">
        <f>$E$71</f>
        <v>6987.346284818438</v>
      </c>
      <c r="H79" s="486"/>
    </row>
    <row r="80" spans="1:8" ht="13.5" thickBot="1">
      <c r="A80" s="440">
        <v>41000</v>
      </c>
      <c r="B80" s="441">
        <f>B79-E79</f>
        <v>6783.831344483888</v>
      </c>
      <c r="C80" s="487">
        <f>B80*$E$70</f>
        <v>203.51494033451664</v>
      </c>
      <c r="D80" s="466"/>
      <c r="E80" s="487">
        <f>G80-C80</f>
        <v>6783.831344483921</v>
      </c>
      <c r="F80" s="466"/>
      <c r="G80" s="487">
        <f>$E$71</f>
        <v>6987.346284818438</v>
      </c>
      <c r="H80" s="467"/>
    </row>
    <row r="82" spans="1:5" ht="12.75">
      <c r="A82" t="s">
        <v>591</v>
      </c>
      <c r="D82" s="451"/>
      <c r="E82" s="451">
        <f>C76*9/12</f>
        <v>720</v>
      </c>
    </row>
    <row r="83" spans="1:6" ht="12.75">
      <c r="A83" t="s">
        <v>592</v>
      </c>
      <c r="F83" s="451">
        <f>120000*4.5%*8/12</f>
        <v>3600</v>
      </c>
    </row>
  </sheetData>
  <mergeCells count="43">
    <mergeCell ref="A52:H52"/>
    <mergeCell ref="D53:E53"/>
    <mergeCell ref="F53:G53"/>
    <mergeCell ref="H53:I53"/>
    <mergeCell ref="C47:D47"/>
    <mergeCell ref="C48:D48"/>
    <mergeCell ref="C49:D49"/>
    <mergeCell ref="C50:D50"/>
    <mergeCell ref="C43:D43"/>
    <mergeCell ref="C44:H44"/>
    <mergeCell ref="C45:D45"/>
    <mergeCell ref="C46:D46"/>
    <mergeCell ref="C39:E39"/>
    <mergeCell ref="C40:D40"/>
    <mergeCell ref="C41:D41"/>
    <mergeCell ref="C42:D42"/>
    <mergeCell ref="G23:H23"/>
    <mergeCell ref="B24:D24"/>
    <mergeCell ref="E24:G24"/>
    <mergeCell ref="H24:I24"/>
    <mergeCell ref="A1:H1"/>
    <mergeCell ref="G6:H6"/>
    <mergeCell ref="B7:D7"/>
    <mergeCell ref="E7:G7"/>
    <mergeCell ref="H7:I7"/>
    <mergeCell ref="C74:D74"/>
    <mergeCell ref="E74:F74"/>
    <mergeCell ref="G74:H74"/>
    <mergeCell ref="C76:D76"/>
    <mergeCell ref="E76:F76"/>
    <mergeCell ref="G76:H76"/>
    <mergeCell ref="C77:D77"/>
    <mergeCell ref="E77:F77"/>
    <mergeCell ref="G77:H77"/>
    <mergeCell ref="C78:D78"/>
    <mergeCell ref="E78:F78"/>
    <mergeCell ref="G78:H78"/>
    <mergeCell ref="C79:D79"/>
    <mergeCell ref="E79:F79"/>
    <mergeCell ref="G79:H79"/>
    <mergeCell ref="C80:D80"/>
    <mergeCell ref="E80:F80"/>
    <mergeCell ref="G80:H80"/>
  </mergeCells>
  <printOptions/>
  <pageMargins left="0.3937007874015748" right="0.3937007874015748" top="0.3937007874015748" bottom="0.5905511811023623" header="0.31496062992125984" footer="0.31496062992125984"/>
  <pageSetup fitToHeight="1" fitToWidth="1" orientation="portrait" paperSize="9" scale="73" r:id="rId1"/>
  <headerFooter alignWithMargins="0">
    <oddFooter>&amp;R&amp;8 4 -&amp;A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 topLeftCell="A70">
      <selection activeCell="E81" sqref="E81"/>
    </sheetView>
  </sheetViews>
  <sheetFormatPr defaultColWidth="11.421875" defaultRowHeight="12.75"/>
  <cols>
    <col min="1" max="1" width="10.57421875" style="0" customWidth="1"/>
    <col min="2" max="2" width="11.28125" style="0" customWidth="1"/>
    <col min="3" max="3" width="13.00390625" style="0" customWidth="1"/>
    <col min="4" max="4" width="14.00390625" style="0" customWidth="1"/>
    <col min="5" max="5" width="14.57421875" style="0" customWidth="1"/>
    <col min="6" max="6" width="19.7109375" style="0" customWidth="1"/>
    <col min="7" max="8" width="12.421875" style="0" customWidth="1"/>
  </cols>
  <sheetData>
    <row r="1" spans="1:8" ht="15.75">
      <c r="A1" s="476" t="s">
        <v>430</v>
      </c>
      <c r="B1" s="476"/>
      <c r="C1" s="476"/>
      <c r="D1" s="476"/>
      <c r="E1" s="476"/>
      <c r="F1" s="476"/>
      <c r="G1" s="476"/>
      <c r="H1" s="476"/>
    </row>
    <row r="2" spans="1:8" ht="12.75">
      <c r="A2" s="535" t="s">
        <v>431</v>
      </c>
      <c r="B2" s="536"/>
      <c r="C2" s="506" t="s">
        <v>432</v>
      </c>
      <c r="D2" s="506"/>
      <c r="E2" s="506"/>
      <c r="F2" s="506"/>
      <c r="G2" s="535" t="s">
        <v>433</v>
      </c>
      <c r="H2" s="536"/>
    </row>
    <row r="3" spans="1:8" ht="12.75">
      <c r="A3" s="185" t="s">
        <v>434</v>
      </c>
      <c r="B3" s="185" t="s">
        <v>435</v>
      </c>
      <c r="C3" s="25"/>
      <c r="D3" s="25"/>
      <c r="E3" s="25"/>
      <c r="F3" s="25"/>
      <c r="G3" s="185" t="s">
        <v>434</v>
      </c>
      <c r="H3" s="185" t="s">
        <v>435</v>
      </c>
    </row>
    <row r="4" spans="1:8" ht="12.75">
      <c r="A4" s="274"/>
      <c r="B4" s="274"/>
      <c r="C4" s="537" t="s">
        <v>436</v>
      </c>
      <c r="D4" s="538"/>
      <c r="E4" s="538"/>
      <c r="F4" s="539"/>
      <c r="G4" s="274"/>
      <c r="H4" s="274"/>
    </row>
    <row r="5" spans="1:8" ht="12.75">
      <c r="A5" s="280">
        <v>6816200</v>
      </c>
      <c r="B5" s="274"/>
      <c r="C5" s="275" t="s">
        <v>437</v>
      </c>
      <c r="D5" s="275"/>
      <c r="E5" s="275"/>
      <c r="F5" s="275"/>
      <c r="G5" s="276">
        <v>1140</v>
      </c>
      <c r="H5" s="274"/>
    </row>
    <row r="6" spans="1:8" ht="12.75">
      <c r="A6" s="274"/>
      <c r="B6" s="280">
        <v>2915410</v>
      </c>
      <c r="C6" s="275"/>
      <c r="D6" s="275" t="s">
        <v>333</v>
      </c>
      <c r="E6" s="275"/>
      <c r="F6" s="275"/>
      <c r="G6" s="274"/>
      <c r="H6" s="276">
        <f>G5</f>
        <v>1140</v>
      </c>
    </row>
    <row r="7" spans="1:8" ht="12.75">
      <c r="A7" s="274"/>
      <c r="B7" s="274"/>
      <c r="C7" s="534" t="s">
        <v>438</v>
      </c>
      <c r="D7" s="540"/>
      <c r="E7" s="540"/>
      <c r="F7" s="530"/>
      <c r="G7" s="274"/>
      <c r="H7" s="274"/>
    </row>
    <row r="8" spans="1:8" ht="12.75">
      <c r="A8" s="274"/>
      <c r="B8" s="274"/>
      <c r="C8" s="534" t="s">
        <v>439</v>
      </c>
      <c r="D8" s="529"/>
      <c r="E8" s="529"/>
      <c r="F8" s="530"/>
      <c r="G8" s="274"/>
      <c r="H8" s="274"/>
    </row>
    <row r="9" spans="1:8" ht="12.75">
      <c r="A9" s="274"/>
      <c r="B9" s="274"/>
      <c r="C9" s="534" t="s">
        <v>440</v>
      </c>
      <c r="D9" s="540"/>
      <c r="E9" s="540"/>
      <c r="F9" s="530"/>
      <c r="G9" s="274"/>
      <c r="H9" s="274"/>
    </row>
    <row r="10" spans="1:8" ht="12.75">
      <c r="A10" s="274"/>
      <c r="B10" s="274"/>
      <c r="C10" s="531" t="s">
        <v>441</v>
      </c>
      <c r="D10" s="532"/>
      <c r="E10" s="532"/>
      <c r="F10" s="533"/>
      <c r="G10" s="274"/>
      <c r="H10" s="274"/>
    </row>
    <row r="11" spans="1:8" ht="12.75">
      <c r="A11" s="274"/>
      <c r="B11" s="274"/>
      <c r="C11" s="537" t="s">
        <v>413</v>
      </c>
      <c r="D11" s="538"/>
      <c r="E11" s="538"/>
      <c r="F11" s="539"/>
      <c r="G11" s="274"/>
      <c r="H11" s="274"/>
    </row>
    <row r="12" spans="1:8" ht="12.75">
      <c r="A12" s="280">
        <v>2182210</v>
      </c>
      <c r="B12" s="280"/>
      <c r="C12" s="275" t="s">
        <v>442</v>
      </c>
      <c r="D12" s="275"/>
      <c r="E12" s="275"/>
      <c r="F12" s="275"/>
      <c r="G12" s="281">
        <f>Présentation!D48</f>
        <v>9000</v>
      </c>
      <c r="H12" s="282"/>
    </row>
    <row r="13" spans="1:8" ht="12.75">
      <c r="A13" s="280">
        <v>4456200</v>
      </c>
      <c r="B13" s="280"/>
      <c r="C13" s="275" t="s">
        <v>443</v>
      </c>
      <c r="D13" s="275"/>
      <c r="E13" s="275"/>
      <c r="F13" s="275"/>
      <c r="G13" s="281">
        <f>G12*19.6%</f>
        <v>1764</v>
      </c>
      <c r="H13" s="282"/>
    </row>
    <row r="14" spans="1:8" ht="12.75">
      <c r="A14" s="280">
        <v>6354000</v>
      </c>
      <c r="B14" s="280"/>
      <c r="C14" s="275" t="s">
        <v>444</v>
      </c>
      <c r="D14" s="275"/>
      <c r="E14" s="275"/>
      <c r="F14" s="275"/>
      <c r="G14" s="281">
        <f>Présentation!D50</f>
        <v>100</v>
      </c>
      <c r="H14" s="282"/>
    </row>
    <row r="15" spans="1:8" ht="12.75">
      <c r="A15" s="280">
        <v>6061000</v>
      </c>
      <c r="B15" s="280"/>
      <c r="C15" s="275" t="s">
        <v>445</v>
      </c>
      <c r="D15" s="275"/>
      <c r="E15" s="275"/>
      <c r="F15" s="275"/>
      <c r="G15" s="281">
        <f>Présentation!D51</f>
        <v>20</v>
      </c>
      <c r="H15" s="282"/>
    </row>
    <row r="16" spans="1:8" ht="12.75">
      <c r="A16" s="280"/>
      <c r="B16" s="280">
        <v>4040000</v>
      </c>
      <c r="C16" s="275"/>
      <c r="D16" s="275" t="s">
        <v>446</v>
      </c>
      <c r="E16" s="275"/>
      <c r="F16" s="275"/>
      <c r="G16" s="281"/>
      <c r="H16" s="281">
        <f>Présentation!D52</f>
        <v>10884</v>
      </c>
    </row>
    <row r="17" spans="1:8" ht="12.75">
      <c r="A17" s="280"/>
      <c r="B17" s="280"/>
      <c r="C17" s="531" t="s">
        <v>447</v>
      </c>
      <c r="D17" s="532"/>
      <c r="E17" s="532"/>
      <c r="F17" s="533"/>
      <c r="G17" s="282"/>
      <c r="H17" s="282"/>
    </row>
    <row r="18" spans="1:8" ht="12.75">
      <c r="A18" s="274"/>
      <c r="B18" s="274"/>
      <c r="C18" s="537" t="s">
        <v>414</v>
      </c>
      <c r="D18" s="538"/>
      <c r="E18" s="538"/>
      <c r="F18" s="539"/>
      <c r="G18" s="274"/>
      <c r="H18" s="274"/>
    </row>
    <row r="19" spans="1:8" ht="12.75">
      <c r="A19" s="280">
        <v>2154300</v>
      </c>
      <c r="B19" s="280"/>
      <c r="C19" s="275" t="s">
        <v>346</v>
      </c>
      <c r="D19" s="275"/>
      <c r="E19" s="275"/>
      <c r="F19" s="275"/>
      <c r="G19" s="281">
        <f>Présentation!N50</f>
        <v>21000</v>
      </c>
      <c r="H19" s="282"/>
    </row>
    <row r="20" spans="1:8" ht="12.75">
      <c r="A20" s="280">
        <v>4456200</v>
      </c>
      <c r="B20" s="280"/>
      <c r="C20" s="275" t="s">
        <v>443</v>
      </c>
      <c r="D20" s="275"/>
      <c r="E20" s="275"/>
      <c r="F20" s="275"/>
      <c r="G20" s="281">
        <f>Présentation!N51</f>
        <v>4116</v>
      </c>
      <c r="H20" s="282"/>
    </row>
    <row r="21" spans="1:8" ht="12.75">
      <c r="A21" s="280"/>
      <c r="B21" s="280">
        <v>4040000</v>
      </c>
      <c r="C21" s="275"/>
      <c r="D21" s="275" t="s">
        <v>446</v>
      </c>
      <c r="E21" s="275"/>
      <c r="F21" s="275"/>
      <c r="G21" s="281"/>
      <c r="H21" s="281">
        <f>Présentation!N52</f>
        <v>25116</v>
      </c>
    </row>
    <row r="22" spans="1:8" ht="12.75">
      <c r="A22" s="280"/>
      <c r="B22" s="280"/>
      <c r="C22" s="531" t="s">
        <v>448</v>
      </c>
      <c r="D22" s="532"/>
      <c r="E22" s="532"/>
      <c r="F22" s="533"/>
      <c r="G22" s="282"/>
      <c r="H22" s="282"/>
    </row>
    <row r="23" spans="1:8" ht="12.75">
      <c r="A23" s="274"/>
      <c r="B23" s="274"/>
      <c r="C23" s="537" t="s">
        <v>449</v>
      </c>
      <c r="D23" s="538"/>
      <c r="E23" s="538"/>
      <c r="F23" s="539"/>
      <c r="G23" s="274"/>
      <c r="H23" s="274"/>
    </row>
    <row r="24" spans="1:8" ht="12.75">
      <c r="A24" s="280">
        <v>4620000</v>
      </c>
      <c r="B24" s="280"/>
      <c r="C24" s="275" t="s">
        <v>450</v>
      </c>
      <c r="D24" s="275"/>
      <c r="E24" s="275"/>
      <c r="F24" s="275"/>
      <c r="G24" s="281">
        <v>4784</v>
      </c>
      <c r="H24" s="282"/>
    </row>
    <row r="25" spans="1:8" ht="12.75">
      <c r="A25" s="280"/>
      <c r="B25" s="280">
        <v>7750000</v>
      </c>
      <c r="C25" s="275"/>
      <c r="D25" s="275" t="s">
        <v>451</v>
      </c>
      <c r="E25" s="275"/>
      <c r="F25" s="275"/>
      <c r="G25" s="281"/>
      <c r="H25" s="281">
        <v>4000</v>
      </c>
    </row>
    <row r="26" spans="1:8" ht="12.75">
      <c r="A26" s="280"/>
      <c r="B26" s="280">
        <v>4457100</v>
      </c>
      <c r="C26" s="275"/>
      <c r="D26" s="275" t="s">
        <v>34</v>
      </c>
      <c r="E26" s="275"/>
      <c r="F26" s="275"/>
      <c r="G26" s="281"/>
      <c r="H26" s="281">
        <f>H25*0.196</f>
        <v>784</v>
      </c>
    </row>
    <row r="27" spans="1:8" ht="12.75">
      <c r="A27" s="280"/>
      <c r="B27" s="280"/>
      <c r="C27" s="534" t="s">
        <v>452</v>
      </c>
      <c r="D27" s="540"/>
      <c r="E27" s="540"/>
      <c r="F27" s="530"/>
      <c r="G27" s="282"/>
      <c r="H27" s="282"/>
    </row>
    <row r="28" spans="1:8" ht="12.75">
      <c r="A28" s="274"/>
      <c r="B28" s="274"/>
      <c r="C28" s="537" t="s">
        <v>453</v>
      </c>
      <c r="D28" s="538"/>
      <c r="E28" s="538"/>
      <c r="F28" s="539"/>
      <c r="G28" s="274"/>
      <c r="H28" s="274"/>
    </row>
    <row r="29" spans="1:8" ht="12.75">
      <c r="A29" s="280">
        <v>681110</v>
      </c>
      <c r="B29" s="280"/>
      <c r="C29" s="275" t="s">
        <v>454</v>
      </c>
      <c r="D29" s="279"/>
      <c r="E29" s="279"/>
      <c r="F29" s="279"/>
      <c r="G29" s="276">
        <f>H31+H32</f>
        <v>375</v>
      </c>
      <c r="H29" s="274"/>
    </row>
    <row r="30" spans="1:8" ht="12.75">
      <c r="A30" s="280">
        <v>681120</v>
      </c>
      <c r="B30" s="280"/>
      <c r="C30" s="275" t="s">
        <v>455</v>
      </c>
      <c r="D30" s="275"/>
      <c r="E30" s="275"/>
      <c r="F30" s="275"/>
      <c r="G30" s="281">
        <f>SUM(H33:H42)</f>
        <v>40674.333333333336</v>
      </c>
      <c r="H30" s="282"/>
    </row>
    <row r="31" spans="1:8" ht="12.75">
      <c r="A31" s="280"/>
      <c r="B31" s="280">
        <v>2805001</v>
      </c>
      <c r="C31" s="275"/>
      <c r="D31" s="275" t="s">
        <v>456</v>
      </c>
      <c r="E31" s="275"/>
      <c r="F31" s="275"/>
      <c r="G31" s="281"/>
      <c r="H31" s="281">
        <f>'Amort.'!E65</f>
        <v>150</v>
      </c>
    </row>
    <row r="32" spans="1:8" ht="12.75">
      <c r="A32" s="280"/>
      <c r="B32" s="280">
        <v>2805002</v>
      </c>
      <c r="C32" s="275"/>
      <c r="D32" s="275" t="s">
        <v>457</v>
      </c>
      <c r="E32" s="275"/>
      <c r="F32" s="275"/>
      <c r="G32" s="281"/>
      <c r="H32" s="281">
        <f>'Amort.'!E66</f>
        <v>225</v>
      </c>
    </row>
    <row r="33" spans="1:8" ht="12.75">
      <c r="A33" s="280"/>
      <c r="B33" s="280">
        <v>2813010</v>
      </c>
      <c r="C33" s="275"/>
      <c r="D33" s="275" t="s">
        <v>458</v>
      </c>
      <c r="E33" s="275"/>
      <c r="F33" s="275"/>
      <c r="G33" s="281"/>
      <c r="H33" s="281">
        <f>'Amort.'!E55</f>
        <v>24500</v>
      </c>
    </row>
    <row r="34" spans="1:8" ht="12.75">
      <c r="A34" s="280"/>
      <c r="B34" s="280">
        <v>2813052</v>
      </c>
      <c r="C34" s="275"/>
      <c r="D34" s="275" t="s">
        <v>459</v>
      </c>
      <c r="E34" s="275"/>
      <c r="F34" s="275"/>
      <c r="G34" s="281"/>
      <c r="H34" s="281">
        <f>'Amort.'!E56</f>
        <v>8500</v>
      </c>
    </row>
    <row r="35" spans="1:8" ht="12.75">
      <c r="A35" s="280"/>
      <c r="B35" s="280">
        <v>2815110</v>
      </c>
      <c r="C35" s="275"/>
      <c r="D35" s="275" t="s">
        <v>460</v>
      </c>
      <c r="E35" s="275"/>
      <c r="F35" s="275"/>
      <c r="G35" s="282"/>
      <c r="H35" s="281">
        <f>'Amort.'!E57</f>
        <v>1650</v>
      </c>
    </row>
    <row r="36" spans="1:8" ht="12.75">
      <c r="A36" s="280"/>
      <c r="B36" s="280">
        <v>2815410</v>
      </c>
      <c r="C36" s="275"/>
      <c r="D36" s="275" t="s">
        <v>461</v>
      </c>
      <c r="E36" s="275"/>
      <c r="F36" s="275"/>
      <c r="G36" s="282"/>
      <c r="H36" s="281">
        <f>'Amort.'!E58</f>
        <v>650</v>
      </c>
    </row>
    <row r="37" spans="1:8" ht="12.75">
      <c r="A37" s="280"/>
      <c r="B37" s="280">
        <v>2815430</v>
      </c>
      <c r="C37" s="275"/>
      <c r="D37" s="275" t="s">
        <v>462</v>
      </c>
      <c r="E37" s="275"/>
      <c r="F37" s="275"/>
      <c r="G37" s="282"/>
      <c r="H37" s="281">
        <f>'Amort.'!E59</f>
        <v>1056</v>
      </c>
    </row>
    <row r="38" spans="1:8" ht="12.75">
      <c r="A38" s="280"/>
      <c r="B38" s="280">
        <v>2815430</v>
      </c>
      <c r="C38" s="275"/>
      <c r="D38" s="275" t="s">
        <v>463</v>
      </c>
      <c r="E38" s="275"/>
      <c r="F38" s="275"/>
      <c r="G38" s="282"/>
      <c r="H38" s="281">
        <f>'Amort.'!E60</f>
        <v>1458.3333333333333</v>
      </c>
    </row>
    <row r="39" spans="1:8" ht="12.75">
      <c r="A39" s="280"/>
      <c r="B39" s="280">
        <v>2818221</v>
      </c>
      <c r="C39" s="275"/>
      <c r="D39" s="275" t="s">
        <v>464</v>
      </c>
      <c r="E39" s="275"/>
      <c r="F39" s="275"/>
      <c r="G39" s="282"/>
      <c r="H39" s="281">
        <f>'Amort.'!E61</f>
        <v>1500</v>
      </c>
    </row>
    <row r="40" spans="1:8" ht="12.75">
      <c r="A40" s="280"/>
      <c r="B40" s="280">
        <v>2818222</v>
      </c>
      <c r="C40" s="275"/>
      <c r="D40" s="275" t="s">
        <v>465</v>
      </c>
      <c r="E40" s="275"/>
      <c r="F40" s="275"/>
      <c r="G40" s="282"/>
      <c r="H40" s="281">
        <f>'Amort.'!E62</f>
        <v>900</v>
      </c>
    </row>
    <row r="41" spans="1:8" ht="12.75">
      <c r="A41" s="280"/>
      <c r="B41" s="280">
        <v>2818351</v>
      </c>
      <c r="C41" s="275"/>
      <c r="D41" s="275" t="s">
        <v>466</v>
      </c>
      <c r="E41" s="275"/>
      <c r="F41" s="275"/>
      <c r="G41" s="282"/>
      <c r="H41" s="281">
        <f>'Amort.'!E64</f>
        <v>310</v>
      </c>
    </row>
    <row r="42" spans="1:8" ht="12.75">
      <c r="A42" s="280"/>
      <c r="B42" s="280">
        <v>2818352</v>
      </c>
      <c r="C42" s="275"/>
      <c r="D42" s="275" t="s">
        <v>467</v>
      </c>
      <c r="E42" s="275"/>
      <c r="F42" s="275"/>
      <c r="G42" s="282"/>
      <c r="H42" s="281">
        <f>'Amort.'!E63</f>
        <v>150</v>
      </c>
    </row>
    <row r="43" spans="1:8" ht="12.75">
      <c r="A43" s="280"/>
      <c r="B43" s="280"/>
      <c r="C43" s="531" t="s">
        <v>468</v>
      </c>
      <c r="D43" s="532"/>
      <c r="E43" s="532"/>
      <c r="F43" s="533"/>
      <c r="G43" s="281"/>
      <c r="H43" s="281"/>
    </row>
    <row r="44" spans="1:8" ht="12.75">
      <c r="A44" s="280">
        <v>2815430</v>
      </c>
      <c r="B44" s="280"/>
      <c r="C44" s="275" t="s">
        <v>469</v>
      </c>
      <c r="D44" s="275"/>
      <c r="E44" s="275"/>
      <c r="F44" s="275"/>
      <c r="G44" s="281">
        <f>Présentation!Q13+'Amort.'!E59</f>
        <v>6256</v>
      </c>
      <c r="H44" s="282"/>
    </row>
    <row r="45" spans="1:8" ht="12.75">
      <c r="A45" s="280">
        <v>6750000</v>
      </c>
      <c r="B45" s="280"/>
      <c r="C45" s="275" t="s">
        <v>470</v>
      </c>
      <c r="D45" s="275"/>
      <c r="E45" s="275"/>
      <c r="F45" s="275"/>
      <c r="G45" s="281">
        <f>H46-G44</f>
        <v>3344</v>
      </c>
      <c r="H45" s="281"/>
    </row>
    <row r="46" spans="1:8" ht="12.75">
      <c r="A46" s="280"/>
      <c r="B46" s="280">
        <v>2154300</v>
      </c>
      <c r="C46" s="275"/>
      <c r="D46" s="275" t="s">
        <v>340</v>
      </c>
      <c r="E46" s="275"/>
      <c r="F46" s="275"/>
      <c r="G46" s="281"/>
      <c r="H46" s="281">
        <f>Présentation!D13</f>
        <v>9600</v>
      </c>
    </row>
    <row r="47" spans="1:8" ht="12.75">
      <c r="A47" s="280"/>
      <c r="B47" s="280"/>
      <c r="C47" s="531" t="s">
        <v>655</v>
      </c>
      <c r="D47" s="532"/>
      <c r="E47" s="532"/>
      <c r="F47" s="533"/>
      <c r="G47" s="282"/>
      <c r="H47" s="282"/>
    </row>
    <row r="48" spans="1:8" ht="12.75">
      <c r="A48" s="280">
        <v>6031000</v>
      </c>
      <c r="B48" s="280"/>
      <c r="C48" s="289" t="s">
        <v>496</v>
      </c>
      <c r="D48" s="279"/>
      <c r="E48" s="279"/>
      <c r="F48" s="278"/>
      <c r="G48" s="281">
        <f>H49+H50</f>
        <v>26331</v>
      </c>
      <c r="H48" s="282"/>
    </row>
    <row r="49" spans="1:8" ht="12.75">
      <c r="A49" s="280"/>
      <c r="B49" s="280">
        <v>3110000</v>
      </c>
      <c r="C49" s="277"/>
      <c r="D49" s="275" t="s">
        <v>347</v>
      </c>
      <c r="E49" s="279"/>
      <c r="F49" s="278"/>
      <c r="G49" s="282"/>
      <c r="H49" s="281">
        <f>'Bal. av. invent.'!C36</f>
        <v>18515.85</v>
      </c>
    </row>
    <row r="50" spans="1:8" ht="12.75">
      <c r="A50" s="280"/>
      <c r="B50" s="280">
        <v>3120000</v>
      </c>
      <c r="C50" s="277"/>
      <c r="D50" s="275" t="s">
        <v>352</v>
      </c>
      <c r="E50" s="279"/>
      <c r="F50" s="278"/>
      <c r="G50" s="282"/>
      <c r="H50" s="281">
        <f>'Bal. av. invent.'!C37</f>
        <v>7815.15</v>
      </c>
    </row>
    <row r="51" spans="1:8" ht="12.75">
      <c r="A51" s="280">
        <v>7135500</v>
      </c>
      <c r="B51" s="280"/>
      <c r="C51" s="289" t="s">
        <v>497</v>
      </c>
      <c r="D51" s="279"/>
      <c r="E51" s="279"/>
      <c r="F51" s="278"/>
      <c r="G51" s="281">
        <f>H52</f>
        <v>25655.74</v>
      </c>
      <c r="H51" s="282"/>
    </row>
    <row r="52" spans="1:8" ht="12.75">
      <c r="A52" s="280"/>
      <c r="B52" s="280">
        <v>3550000</v>
      </c>
      <c r="C52" s="277"/>
      <c r="D52" s="275" t="s">
        <v>358</v>
      </c>
      <c r="E52" s="279"/>
      <c r="F52" s="278"/>
      <c r="G52" s="282"/>
      <c r="H52" s="281">
        <f>'Bal. av. invent.'!C38</f>
        <v>25655.74</v>
      </c>
    </row>
    <row r="53" spans="1:8" ht="12.75">
      <c r="A53" s="280"/>
      <c r="B53" s="280"/>
      <c r="C53" s="534" t="s">
        <v>498</v>
      </c>
      <c r="D53" s="529"/>
      <c r="E53" s="529"/>
      <c r="F53" s="530"/>
      <c r="G53" s="282"/>
      <c r="H53" s="282"/>
    </row>
    <row r="54" spans="1:8" ht="12.75">
      <c r="A54" s="280">
        <v>3110000</v>
      </c>
      <c r="B54" s="280"/>
      <c r="C54" s="454" t="s">
        <v>347</v>
      </c>
      <c r="D54" s="429"/>
      <c r="E54" s="429"/>
      <c r="F54" s="430"/>
      <c r="G54" s="281">
        <f>Enoncé!F9</f>
        <v>19654.96</v>
      </c>
      <c r="H54" s="282"/>
    </row>
    <row r="55" spans="1:8" ht="12.75">
      <c r="A55" s="280">
        <v>3120000</v>
      </c>
      <c r="B55" s="280"/>
      <c r="C55" s="275" t="s">
        <v>352</v>
      </c>
      <c r="D55" s="275"/>
      <c r="E55" s="279"/>
      <c r="F55" s="278"/>
      <c r="G55" s="281">
        <f>Enoncé!F10</f>
        <v>6243.52</v>
      </c>
      <c r="H55" s="282"/>
    </row>
    <row r="56" spans="1:8" ht="12.75">
      <c r="A56" s="280"/>
      <c r="B56" s="280">
        <v>6031000</v>
      </c>
      <c r="C56" s="277"/>
      <c r="D56" s="275" t="s">
        <v>496</v>
      </c>
      <c r="E56" s="279"/>
      <c r="F56" s="278"/>
      <c r="G56" s="282"/>
      <c r="H56" s="281">
        <f>G54+G55</f>
        <v>25898.48</v>
      </c>
    </row>
    <row r="57" spans="1:8" ht="12.75">
      <c r="A57" s="280">
        <v>3550000</v>
      </c>
      <c r="B57" s="280"/>
      <c r="C57" s="275" t="s">
        <v>358</v>
      </c>
      <c r="D57" s="275"/>
      <c r="E57" s="279"/>
      <c r="F57" s="278"/>
      <c r="G57" s="281">
        <f>Enoncé!F11</f>
        <v>24327.54</v>
      </c>
      <c r="H57" s="282"/>
    </row>
    <row r="58" spans="1:8" ht="12.75">
      <c r="A58" s="280"/>
      <c r="B58" s="280">
        <v>7135500</v>
      </c>
      <c r="C58" s="277"/>
      <c r="D58" s="275" t="s">
        <v>497</v>
      </c>
      <c r="E58" s="279"/>
      <c r="F58" s="278"/>
      <c r="G58" s="282"/>
      <c r="H58" s="281">
        <f>G57</f>
        <v>24327.54</v>
      </c>
    </row>
    <row r="59" spans="1:8" ht="12.75">
      <c r="A59" s="280"/>
      <c r="B59" s="280"/>
      <c r="C59" s="534" t="s">
        <v>500</v>
      </c>
      <c r="D59" s="529"/>
      <c r="E59" s="529"/>
      <c r="F59" s="530"/>
      <c r="G59" s="282"/>
      <c r="H59" s="282"/>
    </row>
    <row r="60" spans="1:8" ht="12.75">
      <c r="A60" s="280">
        <v>6817300</v>
      </c>
      <c r="B60" s="280"/>
      <c r="C60" s="455" t="s">
        <v>490</v>
      </c>
      <c r="D60" s="429"/>
      <c r="E60" s="429"/>
      <c r="F60" s="430"/>
      <c r="G60" s="281">
        <f>H62</f>
        <v>1200</v>
      </c>
      <c r="H60" s="282"/>
    </row>
    <row r="61" spans="1:8" ht="12.75">
      <c r="A61" s="280">
        <v>6817400</v>
      </c>
      <c r="B61" s="280"/>
      <c r="C61" s="282" t="s">
        <v>491</v>
      </c>
      <c r="D61" s="279"/>
      <c r="E61" s="279"/>
      <c r="F61" s="278"/>
      <c r="G61" s="281">
        <f>H63</f>
        <v>6093</v>
      </c>
      <c r="H61" s="282"/>
    </row>
    <row r="62" spans="1:8" ht="12.75">
      <c r="A62" s="280"/>
      <c r="B62" s="280">
        <v>3955000</v>
      </c>
      <c r="C62" s="277"/>
      <c r="D62" s="275" t="s">
        <v>492</v>
      </c>
      <c r="E62" s="279"/>
      <c r="F62" s="278"/>
      <c r="G62" s="282"/>
      <c r="H62" s="281">
        <v>1200</v>
      </c>
    </row>
    <row r="63" spans="1:8" ht="12.75">
      <c r="A63" s="280"/>
      <c r="B63" s="280">
        <v>4910000</v>
      </c>
      <c r="C63" s="277"/>
      <c r="D63" s="275" t="s">
        <v>493</v>
      </c>
      <c r="E63" s="279"/>
      <c r="F63" s="278"/>
      <c r="G63" s="282"/>
      <c r="H63" s="281">
        <f>'Bal. après invent'!C85</f>
        <v>6093</v>
      </c>
    </row>
    <row r="64" spans="1:8" ht="12.75">
      <c r="A64" s="280"/>
      <c r="B64" s="280"/>
      <c r="C64" s="531" t="s">
        <v>501</v>
      </c>
      <c r="D64" s="532"/>
      <c r="E64" s="532"/>
      <c r="F64" s="533"/>
      <c r="G64" s="282"/>
      <c r="H64" s="281"/>
    </row>
    <row r="65" spans="1:8" ht="12.75">
      <c r="A65" s="280">
        <v>3911000</v>
      </c>
      <c r="B65" s="280"/>
      <c r="C65" s="282" t="s">
        <v>575</v>
      </c>
      <c r="D65" s="279"/>
      <c r="E65" s="279"/>
      <c r="F65" s="278"/>
      <c r="G65" s="281">
        <v>1750</v>
      </c>
      <c r="H65" s="282"/>
    </row>
    <row r="66" spans="1:8" ht="12.75">
      <c r="A66" s="280"/>
      <c r="B66" s="280">
        <v>7817300</v>
      </c>
      <c r="C66" s="277"/>
      <c r="D66" s="275" t="s">
        <v>502</v>
      </c>
      <c r="E66" s="279"/>
      <c r="F66" s="278"/>
      <c r="G66" s="282"/>
      <c r="H66" s="281">
        <f>G65</f>
        <v>1750</v>
      </c>
    </row>
    <row r="67" spans="1:8" ht="12.75">
      <c r="A67" s="280"/>
      <c r="B67" s="280"/>
      <c r="C67" s="534" t="s">
        <v>650</v>
      </c>
      <c r="D67" s="529"/>
      <c r="E67" s="529"/>
      <c r="F67" s="530"/>
      <c r="G67" s="282"/>
      <c r="H67" s="281"/>
    </row>
    <row r="68" spans="1:8" ht="12.75">
      <c r="A68" s="280">
        <v>4160000</v>
      </c>
      <c r="B68" s="280"/>
      <c r="C68" s="455" t="s">
        <v>648</v>
      </c>
      <c r="D68" s="429"/>
      <c r="E68" s="429"/>
      <c r="F68" s="430"/>
      <c r="G68" s="281">
        <v>12145.38</v>
      </c>
      <c r="H68" s="281"/>
    </row>
    <row r="69" spans="1:8" ht="12.75">
      <c r="A69" s="280"/>
      <c r="B69" s="280">
        <v>4110000</v>
      </c>
      <c r="C69" s="277"/>
      <c r="D69" s="460" t="s">
        <v>348</v>
      </c>
      <c r="E69" s="279"/>
      <c r="F69" s="278"/>
      <c r="G69" s="282"/>
      <c r="H69" s="281">
        <f>G68</f>
        <v>12145.38</v>
      </c>
    </row>
    <row r="70" spans="1:8" ht="12.75">
      <c r="A70" s="280"/>
      <c r="B70" s="280"/>
      <c r="C70" s="531" t="s">
        <v>649</v>
      </c>
      <c r="D70" s="532"/>
      <c r="E70" s="532"/>
      <c r="F70" s="533"/>
      <c r="G70" s="282"/>
      <c r="H70" s="281"/>
    </row>
    <row r="71" spans="1:8" ht="12.75">
      <c r="A71" s="280">
        <v>6815000</v>
      </c>
      <c r="B71" s="280"/>
      <c r="C71" s="282" t="s">
        <v>495</v>
      </c>
      <c r="D71" s="279"/>
      <c r="E71" s="279"/>
      <c r="F71" s="278"/>
      <c r="G71" s="281">
        <v>7500</v>
      </c>
      <c r="H71" s="281"/>
    </row>
    <row r="72" spans="1:8" ht="12.75">
      <c r="A72" s="280"/>
      <c r="B72" s="280">
        <v>1511000</v>
      </c>
      <c r="C72" s="277"/>
      <c r="D72" s="275" t="s">
        <v>87</v>
      </c>
      <c r="E72" s="279"/>
      <c r="F72" s="278"/>
      <c r="G72" s="282"/>
      <c r="H72" s="281">
        <f>G71</f>
        <v>7500</v>
      </c>
    </row>
    <row r="73" spans="1:8" ht="12.75">
      <c r="A73" s="280"/>
      <c r="B73" s="280"/>
      <c r="C73" s="531" t="s">
        <v>647</v>
      </c>
      <c r="D73" s="532"/>
      <c r="E73" s="532"/>
      <c r="F73" s="533"/>
      <c r="G73" s="282"/>
      <c r="H73" s="281"/>
    </row>
    <row r="74" spans="1:8" ht="12.75">
      <c r="A74" s="280">
        <v>6872500</v>
      </c>
      <c r="B74" s="280"/>
      <c r="C74" s="275" t="s">
        <v>471</v>
      </c>
      <c r="D74" s="275"/>
      <c r="E74" s="275"/>
      <c r="F74" s="275"/>
      <c r="G74" s="281">
        <f>'Amort.'!H67</f>
        <v>3487.92</v>
      </c>
      <c r="H74" s="282"/>
    </row>
    <row r="75" spans="1:8" ht="12.75">
      <c r="A75" s="280"/>
      <c r="B75" s="280">
        <v>1450000</v>
      </c>
      <c r="C75" s="275"/>
      <c r="D75" s="275" t="s">
        <v>472</v>
      </c>
      <c r="E75" s="275"/>
      <c r="F75" s="275"/>
      <c r="G75" s="281"/>
      <c r="H75" s="281">
        <f>ROUND(G74,2)</f>
        <v>3487.92</v>
      </c>
    </row>
    <row r="76" spans="1:8" ht="12.75">
      <c r="A76" s="280"/>
      <c r="B76" s="280"/>
      <c r="C76" s="531" t="s">
        <v>473</v>
      </c>
      <c r="D76" s="532"/>
      <c r="E76" s="532"/>
      <c r="F76" s="533"/>
      <c r="G76" s="281"/>
      <c r="H76" s="281"/>
    </row>
    <row r="77" spans="1:8" ht="12.75">
      <c r="A77" s="280">
        <v>1450000</v>
      </c>
      <c r="B77" s="280"/>
      <c r="C77" s="275" t="s">
        <v>269</v>
      </c>
      <c r="D77" s="275"/>
      <c r="E77" s="275"/>
      <c r="F77" s="275"/>
      <c r="G77" s="281">
        <f>ROUND(H78,2)</f>
        <v>1866.88</v>
      </c>
      <c r="H77" s="282"/>
    </row>
    <row r="78" spans="1:8" ht="12.75">
      <c r="A78" s="280"/>
      <c r="B78" s="280">
        <v>7872500</v>
      </c>
      <c r="C78" s="275"/>
      <c r="D78" s="275" t="s">
        <v>474</v>
      </c>
      <c r="E78" s="275"/>
      <c r="F78" s="275"/>
      <c r="G78" s="281"/>
      <c r="H78" s="281">
        <f>'Amort.'!I67+Présentation!Q14-Présentation!Q13</f>
        <v>1866.875</v>
      </c>
    </row>
    <row r="79" spans="1:8" ht="12.75">
      <c r="A79" s="280"/>
      <c r="B79" s="280"/>
      <c r="C79" s="531" t="s">
        <v>475</v>
      </c>
      <c r="D79" s="532"/>
      <c r="E79" s="532"/>
      <c r="F79" s="533"/>
      <c r="G79" s="281"/>
      <c r="H79" s="281"/>
    </row>
    <row r="80" spans="1:8" ht="12.75">
      <c r="A80" s="280">
        <v>4860000</v>
      </c>
      <c r="B80" s="280"/>
      <c r="C80" s="359" t="s">
        <v>594</v>
      </c>
      <c r="D80" s="279"/>
      <c r="E80" s="279"/>
      <c r="F80" s="279"/>
      <c r="G80" s="281">
        <f>ROUND(450*165/360+400*73/360+6000*3/12,2)</f>
        <v>1787.36</v>
      </c>
      <c r="H80" s="281"/>
    </row>
    <row r="81" spans="1:8" ht="12.75">
      <c r="A81" s="280"/>
      <c r="B81" s="280">
        <v>6160000</v>
      </c>
      <c r="C81" s="279"/>
      <c r="D81" s="359" t="s">
        <v>41</v>
      </c>
      <c r="E81" s="279"/>
      <c r="F81" s="279"/>
      <c r="G81" s="281"/>
      <c r="H81" s="281">
        <f>G80</f>
        <v>1787.36</v>
      </c>
    </row>
    <row r="82" spans="1:8" ht="12.75">
      <c r="A82" s="280"/>
      <c r="B82" s="280"/>
      <c r="C82" s="531" t="s">
        <v>683</v>
      </c>
      <c r="D82" s="532"/>
      <c r="E82" s="532"/>
      <c r="F82" s="533"/>
      <c r="G82" s="281"/>
      <c r="H82" s="281"/>
    </row>
    <row r="83" spans="1:8" ht="12.75">
      <c r="A83" s="280">
        <v>6610000</v>
      </c>
      <c r="B83" s="280"/>
      <c r="C83" s="275" t="s">
        <v>605</v>
      </c>
      <c r="D83" s="275"/>
      <c r="E83" s="275"/>
      <c r="F83" s="275"/>
      <c r="G83" s="281">
        <f>'Amort.'!E82+'Amort.'!F83</f>
        <v>4320</v>
      </c>
      <c r="H83" s="281"/>
    </row>
    <row r="84" spans="1:8" ht="12.75">
      <c r="A84" s="280"/>
      <c r="B84" s="280">
        <v>1688040</v>
      </c>
      <c r="C84" s="275"/>
      <c r="D84" s="275" t="s">
        <v>589</v>
      </c>
      <c r="E84" s="275"/>
      <c r="F84" s="275"/>
      <c r="G84" s="281"/>
      <c r="H84" s="281">
        <f>G83</f>
        <v>4320</v>
      </c>
    </row>
    <row r="85" spans="1:8" ht="12.75">
      <c r="A85" s="280"/>
      <c r="B85" s="280"/>
      <c r="C85" s="534" t="s">
        <v>590</v>
      </c>
      <c r="D85" s="529"/>
      <c r="E85" s="529"/>
      <c r="F85" s="530"/>
      <c r="G85" s="281"/>
      <c r="H85" s="281"/>
    </row>
    <row r="86" spans="1:8" ht="12.75">
      <c r="A86" s="280">
        <v>7520000</v>
      </c>
      <c r="B86" s="14"/>
      <c r="C86" s="456" t="s">
        <v>598</v>
      </c>
      <c r="D86" s="429"/>
      <c r="E86" s="429"/>
      <c r="F86" s="430"/>
      <c r="G86" s="281">
        <f>1200*2/6</f>
        <v>400</v>
      </c>
      <c r="H86" s="281"/>
    </row>
    <row r="87" spans="1:8" ht="12.75">
      <c r="A87" s="280"/>
      <c r="B87" s="280">
        <v>4870000</v>
      </c>
      <c r="C87" s="279"/>
      <c r="D87" s="359" t="s">
        <v>593</v>
      </c>
      <c r="E87" s="453"/>
      <c r="F87" s="278"/>
      <c r="G87" s="281"/>
      <c r="H87" s="281">
        <f>G86</f>
        <v>400</v>
      </c>
    </row>
    <row r="88" spans="1:8" ht="12.75">
      <c r="A88" s="280"/>
      <c r="B88" s="280"/>
      <c r="C88" s="532" t="s">
        <v>602</v>
      </c>
      <c r="D88" s="532"/>
      <c r="E88" s="532"/>
      <c r="F88" s="533"/>
      <c r="G88" s="281"/>
      <c r="H88" s="281"/>
    </row>
    <row r="89" spans="1:8" ht="12.75">
      <c r="A89" s="280">
        <v>4181000</v>
      </c>
      <c r="B89" s="280"/>
      <c r="C89" s="461" t="s">
        <v>600</v>
      </c>
      <c r="D89" s="279"/>
      <c r="E89" s="279"/>
      <c r="F89" s="278"/>
      <c r="G89" s="281">
        <f>H90+H91</f>
        <v>1181.6</v>
      </c>
      <c r="H89" s="281"/>
    </row>
    <row r="90" spans="1:8" ht="12.75">
      <c r="A90" s="14"/>
      <c r="B90" s="280">
        <v>7010000</v>
      </c>
      <c r="C90" s="3"/>
      <c r="D90" s="359" t="s">
        <v>350</v>
      </c>
      <c r="E90" s="279"/>
      <c r="F90" s="278"/>
      <c r="G90" s="281"/>
      <c r="H90" s="281">
        <v>1120</v>
      </c>
    </row>
    <row r="91" spans="1:8" ht="12.75">
      <c r="A91" s="14"/>
      <c r="B91" s="280">
        <v>4455870</v>
      </c>
      <c r="C91" s="3"/>
      <c r="D91" s="359" t="s">
        <v>603</v>
      </c>
      <c r="E91" s="279"/>
      <c r="F91" s="278"/>
      <c r="G91" s="281"/>
      <c r="H91" s="281">
        <f>H90*5.5%</f>
        <v>61.6</v>
      </c>
    </row>
    <row r="92" spans="1:8" ht="12.75">
      <c r="A92" s="280"/>
      <c r="B92" s="280"/>
      <c r="C92" s="532" t="s">
        <v>604</v>
      </c>
      <c r="D92" s="532"/>
      <c r="E92" s="532"/>
      <c r="F92" s="533"/>
      <c r="G92" s="281"/>
      <c r="H92" s="281"/>
    </row>
    <row r="93" spans="1:8" ht="12.75">
      <c r="A93" s="280">
        <v>6060000</v>
      </c>
      <c r="B93" s="280"/>
      <c r="C93" s="359" t="s">
        <v>597</v>
      </c>
      <c r="D93" s="279"/>
      <c r="E93" s="279"/>
      <c r="F93" s="279"/>
      <c r="G93" s="281">
        <f>450/2</f>
        <v>225</v>
      </c>
      <c r="H93" s="281"/>
    </row>
    <row r="94" spans="1:8" ht="12.75">
      <c r="A94" s="280">
        <v>4458600</v>
      </c>
      <c r="B94" s="280"/>
      <c r="C94" s="359" t="s">
        <v>652</v>
      </c>
      <c r="D94" s="279"/>
      <c r="E94" s="279"/>
      <c r="F94" s="279"/>
      <c r="G94" s="281">
        <f>G93*19.6%</f>
        <v>44.1</v>
      </c>
      <c r="H94" s="281"/>
    </row>
    <row r="95" spans="1:8" ht="12.75">
      <c r="A95" s="280"/>
      <c r="B95" s="280">
        <v>4081000</v>
      </c>
      <c r="C95" s="279"/>
      <c r="D95" s="359" t="s">
        <v>653</v>
      </c>
      <c r="E95" s="279"/>
      <c r="F95" s="279"/>
      <c r="G95" s="281"/>
      <c r="H95" s="281">
        <f>G93+G94</f>
        <v>269.1</v>
      </c>
    </row>
    <row r="96" spans="1:8" ht="12.75">
      <c r="A96" s="280"/>
      <c r="B96" s="280"/>
      <c r="C96" s="531" t="s">
        <v>654</v>
      </c>
      <c r="D96" s="532"/>
      <c r="E96" s="532"/>
      <c r="F96" s="533"/>
      <c r="G96" s="281"/>
      <c r="H96" s="281"/>
    </row>
    <row r="97" spans="1:8" ht="12.75">
      <c r="A97" s="280">
        <v>4860000</v>
      </c>
      <c r="B97" s="280"/>
      <c r="C97" s="359" t="s">
        <v>594</v>
      </c>
      <c r="D97" s="279"/>
      <c r="E97" s="279"/>
      <c r="F97" s="279"/>
      <c r="G97" s="281">
        <v>1300</v>
      </c>
      <c r="H97" s="281"/>
    </row>
    <row r="98" spans="1:8" ht="12.75">
      <c r="A98" s="280"/>
      <c r="B98" s="280">
        <v>6060000</v>
      </c>
      <c r="C98" s="279"/>
      <c r="D98" s="359" t="s">
        <v>597</v>
      </c>
      <c r="E98" s="279"/>
      <c r="F98" s="279"/>
      <c r="G98" s="281"/>
      <c r="H98" s="281">
        <f>G97</f>
        <v>1300</v>
      </c>
    </row>
    <row r="99" spans="1:8" ht="12.75">
      <c r="A99" s="457"/>
      <c r="B99" s="457"/>
      <c r="C99" s="529" t="s">
        <v>601</v>
      </c>
      <c r="D99" s="529"/>
      <c r="E99" s="529"/>
      <c r="F99" s="530"/>
      <c r="G99" s="281"/>
      <c r="H99" s="281"/>
    </row>
    <row r="100" spans="1:8" ht="12.75">
      <c r="A100" s="11"/>
      <c r="B100" s="11"/>
      <c r="C100" s="11"/>
      <c r="D100" s="11"/>
      <c r="E100" s="11"/>
      <c r="F100" s="11"/>
      <c r="G100" s="283">
        <f>SUM(G4:G79)</f>
        <v>228829.27333333335</v>
      </c>
      <c r="H100" s="283">
        <f>SUM(H4:H79)</f>
        <v>228829.26833333334</v>
      </c>
    </row>
  </sheetData>
  <mergeCells count="32">
    <mergeCell ref="C76:F76"/>
    <mergeCell ref="C79:F79"/>
    <mergeCell ref="C53:F53"/>
    <mergeCell ref="C59:F59"/>
    <mergeCell ref="C64:F64"/>
    <mergeCell ref="C70:F70"/>
    <mergeCell ref="C43:F43"/>
    <mergeCell ref="C47:F47"/>
    <mergeCell ref="C67:F67"/>
    <mergeCell ref="C73:F73"/>
    <mergeCell ref="C22:F22"/>
    <mergeCell ref="C23:F23"/>
    <mergeCell ref="C27:F27"/>
    <mergeCell ref="C28:F28"/>
    <mergeCell ref="C10:F10"/>
    <mergeCell ref="C11:F11"/>
    <mergeCell ref="C17:F17"/>
    <mergeCell ref="C18:F18"/>
    <mergeCell ref="C82:F82"/>
    <mergeCell ref="C85:F85"/>
    <mergeCell ref="A1:H1"/>
    <mergeCell ref="A2:B2"/>
    <mergeCell ref="C2:F2"/>
    <mergeCell ref="G2:H2"/>
    <mergeCell ref="C4:F4"/>
    <mergeCell ref="C7:F7"/>
    <mergeCell ref="C8:F8"/>
    <mergeCell ref="C9:F9"/>
    <mergeCell ref="C99:F99"/>
    <mergeCell ref="C96:F96"/>
    <mergeCell ref="C88:F88"/>
    <mergeCell ref="C92:F92"/>
  </mergeCells>
  <printOptions/>
  <pageMargins left="0.3937007874015748" right="0.3937007874015748" top="0.3937007874015748" bottom="0.3937007874015748" header="0.31496062992125984" footer="0.31496062992125984"/>
  <pageSetup fitToHeight="1" fitToWidth="1" orientation="portrait" paperSize="9" scale="62" r:id="rId1"/>
  <headerFooter alignWithMargins="0">
    <oddFooter>&amp;R&amp;"Arial,Italique"&amp;8 5 -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workbookViewId="0" topLeftCell="A1">
      <selection activeCell="F83" sqref="F83"/>
    </sheetView>
  </sheetViews>
  <sheetFormatPr defaultColWidth="11.421875" defaultRowHeight="12.75"/>
  <cols>
    <col min="1" max="1" width="10.7109375" style="0" customWidth="1"/>
    <col min="2" max="2" width="60.421875" style="0" customWidth="1"/>
    <col min="3" max="3" width="12.8515625" style="0" customWidth="1"/>
    <col min="4" max="4" width="13.00390625" style="0" customWidth="1"/>
    <col min="5" max="5" width="12.140625" style="0" customWidth="1"/>
    <col min="6" max="6" width="12.00390625" style="0" customWidth="1"/>
    <col min="7" max="7" width="9.7109375" style="0" customWidth="1"/>
    <col min="8" max="8" width="0.42578125" style="0" customWidth="1"/>
  </cols>
  <sheetData>
    <row r="1" spans="1:4" ht="12.75">
      <c r="A1" s="483" t="s">
        <v>476</v>
      </c>
      <c r="B1" s="483"/>
      <c r="C1" s="483"/>
      <c r="D1" s="483"/>
    </row>
    <row r="2" ht="13.5" thickBot="1"/>
    <row r="3" spans="1:4" ht="13.5" thickTop="1">
      <c r="A3" s="30" t="s">
        <v>360</v>
      </c>
      <c r="B3" s="180" t="s">
        <v>24</v>
      </c>
      <c r="C3" s="481" t="s">
        <v>25</v>
      </c>
      <c r="D3" s="482"/>
    </row>
    <row r="4" spans="1:6" ht="12.75">
      <c r="A4" s="22" t="s">
        <v>361</v>
      </c>
      <c r="B4" s="185" t="s">
        <v>362</v>
      </c>
      <c r="C4" s="185" t="s">
        <v>26</v>
      </c>
      <c r="D4" s="294" t="s">
        <v>27</v>
      </c>
      <c r="E4" s="543"/>
      <c r="F4" s="544"/>
    </row>
    <row r="5" spans="1:6" ht="12.75">
      <c r="A5" s="17">
        <v>1010000</v>
      </c>
      <c r="B5" s="14" t="s">
        <v>28</v>
      </c>
      <c r="C5" s="291"/>
      <c r="D5" s="292">
        <v>175000</v>
      </c>
      <c r="E5" s="433"/>
      <c r="F5" s="181"/>
    </row>
    <row r="6" spans="1:5" ht="12.75">
      <c r="A6" s="17">
        <v>1061000</v>
      </c>
      <c r="B6" s="14" t="s">
        <v>85</v>
      </c>
      <c r="C6" s="291"/>
      <c r="D6" s="292">
        <v>8759</v>
      </c>
      <c r="E6" s="275"/>
    </row>
    <row r="7" spans="1:6" ht="12.75">
      <c r="A7" s="17">
        <v>1068000</v>
      </c>
      <c r="B7" s="14" t="s">
        <v>354</v>
      </c>
      <c r="C7" s="291"/>
      <c r="D7" s="27">
        <v>78160</v>
      </c>
      <c r="E7" s="275"/>
      <c r="F7" s="2"/>
    </row>
    <row r="8" spans="1:5" ht="12.75">
      <c r="A8" s="17">
        <v>1100000</v>
      </c>
      <c r="B8" s="14" t="s">
        <v>86</v>
      </c>
      <c r="C8" s="291"/>
      <c r="D8" s="292">
        <v>2111</v>
      </c>
      <c r="E8" s="275"/>
    </row>
    <row r="9" spans="1:6" ht="12.75">
      <c r="A9" s="17">
        <v>1450000</v>
      </c>
      <c r="B9" s="14" t="s">
        <v>356</v>
      </c>
      <c r="C9" s="291"/>
      <c r="D9" s="285">
        <f>ROUND('Bal. av. invent.'!D9+'Comptab.'!H75-'Comptab.'!G77,2)</f>
        <v>7893.35</v>
      </c>
      <c r="E9" s="286"/>
      <c r="F9" s="2"/>
    </row>
    <row r="10" spans="1:5" ht="12.75">
      <c r="A10" s="17">
        <v>1511000</v>
      </c>
      <c r="B10" s="14" t="s">
        <v>87</v>
      </c>
      <c r="C10" s="281"/>
      <c r="D10" s="285">
        <f>3750+7500</f>
        <v>11250</v>
      </c>
      <c r="E10" s="275"/>
    </row>
    <row r="11" spans="1:5" ht="12.75">
      <c r="A11" s="17">
        <v>1640000</v>
      </c>
      <c r="B11" s="14" t="s">
        <v>29</v>
      </c>
      <c r="C11" s="281"/>
      <c r="D11" s="27">
        <v>152000</v>
      </c>
      <c r="E11" s="275"/>
    </row>
    <row r="12" spans="1:5" ht="12.75">
      <c r="A12" s="452">
        <v>1688400</v>
      </c>
      <c r="B12" s="275" t="s">
        <v>589</v>
      </c>
      <c r="C12" s="281"/>
      <c r="D12" s="285">
        <f>'Comptab.'!H84</f>
        <v>4320</v>
      </c>
      <c r="E12" s="275"/>
    </row>
    <row r="13" spans="1:5" ht="12.75">
      <c r="A13" s="17">
        <v>2050010</v>
      </c>
      <c r="B13" s="14" t="s">
        <v>334</v>
      </c>
      <c r="C13" s="291">
        <f>Présentation!D20</f>
        <v>600</v>
      </c>
      <c r="D13" s="285"/>
      <c r="E13" s="275"/>
    </row>
    <row r="14" spans="1:5" ht="12.75">
      <c r="A14" s="17">
        <v>2050020</v>
      </c>
      <c r="B14" s="14" t="s">
        <v>335</v>
      </c>
      <c r="C14" s="291">
        <f>Présentation!D22</f>
        <v>900</v>
      </c>
      <c r="D14" s="285"/>
      <c r="E14" s="275"/>
    </row>
    <row r="15" spans="1:5" ht="12.75">
      <c r="A15" s="17">
        <v>2130100</v>
      </c>
      <c r="B15" s="14" t="s">
        <v>336</v>
      </c>
      <c r="C15" s="291">
        <f>Présentation!D8</f>
        <v>490000</v>
      </c>
      <c r="D15" s="285"/>
      <c r="E15" s="275"/>
    </row>
    <row r="16" spans="1:5" ht="12.75">
      <c r="A16" s="17">
        <v>2130520</v>
      </c>
      <c r="B16" s="14" t="s">
        <v>337</v>
      </c>
      <c r="C16" s="291">
        <f>Présentation!D9</f>
        <v>70000</v>
      </c>
      <c r="D16" s="285"/>
      <c r="E16" s="275"/>
    </row>
    <row r="17" spans="1:5" ht="12.75">
      <c r="A17" s="17">
        <v>2151100</v>
      </c>
      <c r="B17" s="14" t="s">
        <v>338</v>
      </c>
      <c r="C17" s="291">
        <f>Présentation!D10</f>
        <v>19800</v>
      </c>
      <c r="D17" s="285"/>
      <c r="E17" s="275"/>
    </row>
    <row r="18" spans="1:5" ht="12.75">
      <c r="A18" s="17">
        <v>2154100</v>
      </c>
      <c r="B18" s="14" t="s">
        <v>339</v>
      </c>
      <c r="C18" s="291">
        <f>Présentation!D12</f>
        <v>8400</v>
      </c>
      <c r="D18" s="285"/>
      <c r="E18" s="275"/>
    </row>
    <row r="19" spans="1:5" ht="12.75">
      <c r="A19" s="17">
        <v>2154300</v>
      </c>
      <c r="B19" s="14" t="s">
        <v>346</v>
      </c>
      <c r="C19" s="291">
        <f>Présentation!N50</f>
        <v>21000</v>
      </c>
      <c r="D19" s="285"/>
      <c r="E19" s="275"/>
    </row>
    <row r="20" spans="1:5" ht="12.75">
      <c r="A20" s="17">
        <v>2182100</v>
      </c>
      <c r="B20" s="14" t="s">
        <v>342</v>
      </c>
      <c r="C20" s="291">
        <v>12000</v>
      </c>
      <c r="D20" s="285"/>
      <c r="E20" s="275"/>
    </row>
    <row r="21" spans="1:5" ht="12.75">
      <c r="A21" s="17">
        <v>2182200</v>
      </c>
      <c r="B21" s="14" t="s">
        <v>343</v>
      </c>
      <c r="C21" s="291">
        <f>Présentation!D48</f>
        <v>9000</v>
      </c>
      <c r="D21" s="285"/>
      <c r="E21" s="275"/>
    </row>
    <row r="22" spans="1:5" ht="12.75">
      <c r="A22" s="17">
        <v>2183510</v>
      </c>
      <c r="B22" s="14" t="s">
        <v>344</v>
      </c>
      <c r="C22" s="291">
        <f>Présentation!D17</f>
        <v>1240</v>
      </c>
      <c r="D22" s="285"/>
      <c r="E22" s="275"/>
    </row>
    <row r="23" spans="1:5" ht="12.75">
      <c r="A23" s="17">
        <v>2183520</v>
      </c>
      <c r="B23" s="14" t="s">
        <v>345</v>
      </c>
      <c r="C23" s="291">
        <f>Présentation!D19</f>
        <v>600</v>
      </c>
      <c r="D23" s="285"/>
      <c r="E23" s="275"/>
    </row>
    <row r="24" spans="1:5" ht="12.75">
      <c r="A24" s="17">
        <v>2740000</v>
      </c>
      <c r="B24" s="14" t="s">
        <v>88</v>
      </c>
      <c r="C24" s="291">
        <v>15000</v>
      </c>
      <c r="D24" s="285"/>
      <c r="E24" s="275"/>
    </row>
    <row r="25" spans="1:5" ht="12.75">
      <c r="A25" s="17">
        <v>2805001</v>
      </c>
      <c r="B25" s="14" t="s">
        <v>478</v>
      </c>
      <c r="C25" s="281"/>
      <c r="D25" s="285">
        <f>Présentation!Q20+'Comptab.'!H31</f>
        <v>512.5</v>
      </c>
      <c r="E25" s="275"/>
    </row>
    <row r="26" spans="1:5" ht="12.75">
      <c r="A26" s="17">
        <v>2805002</v>
      </c>
      <c r="B26" s="14" t="s">
        <v>479</v>
      </c>
      <c r="C26" s="281"/>
      <c r="D26" s="285">
        <f>Présentation!Q22+'Comptab.'!H32</f>
        <v>375</v>
      </c>
      <c r="E26" s="275"/>
    </row>
    <row r="27" spans="1:5" ht="12.75">
      <c r="A27" s="17">
        <v>2813010</v>
      </c>
      <c r="B27" s="14" t="s">
        <v>480</v>
      </c>
      <c r="C27" s="281"/>
      <c r="D27" s="285">
        <f>Présentation!Q8+'Comptab.'!H33</f>
        <v>147000</v>
      </c>
      <c r="E27" s="275"/>
    </row>
    <row r="28" spans="1:5" ht="12.75">
      <c r="A28" s="17">
        <v>2813052</v>
      </c>
      <c r="B28" s="14" t="s">
        <v>481</v>
      </c>
      <c r="C28" s="281"/>
      <c r="D28" s="285">
        <f>Présentation!Q9+'Comptab.'!H34</f>
        <v>36000</v>
      </c>
      <c r="E28" s="275"/>
    </row>
    <row r="29" spans="1:5" ht="12.75">
      <c r="A29" s="17">
        <v>2815110</v>
      </c>
      <c r="B29" s="14" t="s">
        <v>482</v>
      </c>
      <c r="C29" s="281"/>
      <c r="D29" s="285">
        <f>ROUND(Présentation!Q10+'Comptab.'!H35,2)</f>
        <v>7906.25</v>
      </c>
      <c r="E29" s="275"/>
    </row>
    <row r="30" spans="1:5" ht="12.75">
      <c r="A30" s="17">
        <v>2815410</v>
      </c>
      <c r="B30" s="14" t="s">
        <v>483</v>
      </c>
      <c r="C30" s="281"/>
      <c r="D30" s="285">
        <f>Présentation!Q12+'Comptab.'!H36</f>
        <v>4010</v>
      </c>
      <c r="E30" s="275"/>
    </row>
    <row r="31" spans="1:5" ht="12.75">
      <c r="A31" s="17">
        <v>2815430</v>
      </c>
      <c r="B31" s="14" t="s">
        <v>489</v>
      </c>
      <c r="C31" s="281"/>
      <c r="D31" s="285">
        <f>ROUND('Comptab.'!H38,2)</f>
        <v>1458.33</v>
      </c>
      <c r="E31" s="286"/>
    </row>
    <row r="32" spans="1:5" ht="12.75">
      <c r="A32" s="17">
        <v>2818210</v>
      </c>
      <c r="B32" s="14" t="s">
        <v>485</v>
      </c>
      <c r="C32" s="281"/>
      <c r="D32" s="285">
        <f>Présentation!Q15+'Comptab.'!H39</f>
        <v>4800</v>
      </c>
      <c r="E32" s="286"/>
    </row>
    <row r="33" spans="1:5" ht="12.75">
      <c r="A33" s="17">
        <v>2818220</v>
      </c>
      <c r="B33" s="14" t="s">
        <v>488</v>
      </c>
      <c r="C33" s="281"/>
      <c r="D33" s="285">
        <f>'Comptab.'!H40</f>
        <v>900</v>
      </c>
      <c r="E33" s="275"/>
    </row>
    <row r="34" spans="1:5" ht="12.75">
      <c r="A34" s="17">
        <v>2818351</v>
      </c>
      <c r="B34" s="14" t="s">
        <v>486</v>
      </c>
      <c r="C34" s="281"/>
      <c r="D34" s="285">
        <f>ROUND(Présentation!Q17+'Comptab.'!H41,2)</f>
        <v>1076.39</v>
      </c>
      <c r="E34" s="275"/>
    </row>
    <row r="35" spans="1:5" ht="12.75">
      <c r="A35" s="17">
        <v>2818352</v>
      </c>
      <c r="B35" s="14" t="s">
        <v>487</v>
      </c>
      <c r="C35" s="281"/>
      <c r="D35" s="285">
        <f>ROUND(Présentation!Q19+'Comptab.'!H42,2)</f>
        <v>520.83</v>
      </c>
      <c r="E35" s="275"/>
    </row>
    <row r="36" spans="1:7" ht="12.75">
      <c r="A36" s="17">
        <v>2915410</v>
      </c>
      <c r="B36" s="14" t="s">
        <v>333</v>
      </c>
      <c r="C36" s="281"/>
      <c r="D36" s="285">
        <v>1140</v>
      </c>
      <c r="E36" s="286"/>
      <c r="F36" s="420"/>
      <c r="G36" s="421"/>
    </row>
    <row r="37" spans="1:7" ht="12.75">
      <c r="A37" s="17">
        <v>3110000</v>
      </c>
      <c r="B37" s="14" t="s">
        <v>347</v>
      </c>
      <c r="C37" s="281">
        <f>Enoncé!F9</f>
        <v>19654.96</v>
      </c>
      <c r="D37" s="285"/>
      <c r="E37" s="275"/>
      <c r="F37" s="421"/>
      <c r="G37" s="421"/>
    </row>
    <row r="38" spans="1:7" ht="12.75">
      <c r="A38" s="17">
        <v>3120000</v>
      </c>
      <c r="B38" s="14" t="s">
        <v>352</v>
      </c>
      <c r="C38" s="281">
        <f>Enoncé!F10</f>
        <v>6243.52</v>
      </c>
      <c r="D38" s="285"/>
      <c r="E38" s="275"/>
      <c r="F38" s="421"/>
      <c r="G38" s="421"/>
    </row>
    <row r="39" spans="1:7" ht="12.75">
      <c r="A39" s="17">
        <v>3550000</v>
      </c>
      <c r="B39" s="14" t="s">
        <v>358</v>
      </c>
      <c r="C39" s="281">
        <f>Enoncé!F11</f>
        <v>24327.54</v>
      </c>
      <c r="D39" s="285"/>
      <c r="E39" s="275"/>
      <c r="F39" s="421"/>
      <c r="G39" s="421"/>
    </row>
    <row r="40" spans="1:7" ht="12.75">
      <c r="A40" s="290">
        <v>3955000</v>
      </c>
      <c r="B40" s="282" t="s">
        <v>492</v>
      </c>
      <c r="C40" s="281"/>
      <c r="D40" s="285">
        <v>1200</v>
      </c>
      <c r="E40" s="275"/>
      <c r="F40" s="421"/>
      <c r="G40" s="421"/>
    </row>
    <row r="41" spans="1:7" ht="12.75">
      <c r="A41" s="17">
        <v>4010000</v>
      </c>
      <c r="B41" s="14" t="s">
        <v>30</v>
      </c>
      <c r="C41" s="291"/>
      <c r="D41" s="292">
        <v>77857.55</v>
      </c>
      <c r="E41" s="275"/>
      <c r="F41" s="421"/>
      <c r="G41" s="421"/>
    </row>
    <row r="42" spans="1:7" ht="12.75">
      <c r="A42" s="17">
        <v>4030000</v>
      </c>
      <c r="B42" s="14" t="s">
        <v>31</v>
      </c>
      <c r="C42" s="291"/>
      <c r="D42" s="292">
        <v>12585.45</v>
      </c>
      <c r="E42" s="275"/>
      <c r="F42" s="421"/>
      <c r="G42" s="421"/>
    </row>
    <row r="43" spans="1:7" ht="12.75">
      <c r="A43" s="290">
        <v>4081000</v>
      </c>
      <c r="B43" s="359" t="s">
        <v>653</v>
      </c>
      <c r="C43" s="291"/>
      <c r="D43" s="285">
        <f>'Comptab.'!H95</f>
        <v>269.1</v>
      </c>
      <c r="E43" s="275"/>
      <c r="F43" s="421"/>
      <c r="G43" s="421"/>
    </row>
    <row r="44" spans="1:7" ht="12.75">
      <c r="A44" s="17">
        <v>4110000</v>
      </c>
      <c r="B44" s="14" t="s">
        <v>348</v>
      </c>
      <c r="C44" s="281">
        <f>123785-'Comptab.'!H69</f>
        <v>111639.62</v>
      </c>
      <c r="D44" s="292"/>
      <c r="E44" s="275"/>
      <c r="F44" s="421"/>
      <c r="G44" s="421"/>
    </row>
    <row r="45" spans="1:7" ht="12.75">
      <c r="A45" s="290">
        <v>4160000</v>
      </c>
      <c r="B45" s="282" t="s">
        <v>648</v>
      </c>
      <c r="C45" s="281">
        <f>'Comptab.'!G68</f>
        <v>12145.38</v>
      </c>
      <c r="D45" s="292"/>
      <c r="E45" s="275"/>
      <c r="F45" s="421"/>
      <c r="G45" s="421"/>
    </row>
    <row r="46" spans="1:7" ht="12.75">
      <c r="A46" s="290">
        <v>4181000</v>
      </c>
      <c r="B46" s="282" t="s">
        <v>600</v>
      </c>
      <c r="C46" s="281">
        <f>'Comptab.'!G89</f>
        <v>1181.6</v>
      </c>
      <c r="D46" s="292"/>
      <c r="E46" s="275"/>
      <c r="F46" s="421"/>
      <c r="G46" s="421"/>
    </row>
    <row r="47" spans="1:7" ht="12.75">
      <c r="A47" s="17">
        <v>4210000</v>
      </c>
      <c r="B47" s="14" t="s">
        <v>32</v>
      </c>
      <c r="C47" s="291"/>
      <c r="D47" s="292">
        <v>8155</v>
      </c>
      <c r="E47" s="275"/>
      <c r="F47" s="421"/>
      <c r="G47" s="421"/>
    </row>
    <row r="48" spans="1:7" ht="12.75">
      <c r="A48" s="17">
        <v>4310000</v>
      </c>
      <c r="B48" s="14" t="s">
        <v>33</v>
      </c>
      <c r="C48" s="291"/>
      <c r="D48" s="292">
        <v>21415</v>
      </c>
      <c r="E48" s="275"/>
      <c r="F48" s="421"/>
      <c r="G48" s="421"/>
    </row>
    <row r="49" spans="1:7" ht="12.75">
      <c r="A49" s="17">
        <v>4440000</v>
      </c>
      <c r="B49" s="14" t="s">
        <v>578</v>
      </c>
      <c r="C49" s="291"/>
      <c r="D49" s="285">
        <f>C87-'Bal. av. invent.'!C45</f>
        <v>3420</v>
      </c>
      <c r="E49" s="275"/>
      <c r="F49" s="421"/>
      <c r="G49" s="421"/>
    </row>
    <row r="50" spans="1:7" ht="12.75">
      <c r="A50" s="17">
        <v>4456600</v>
      </c>
      <c r="B50" s="14" t="s">
        <v>35</v>
      </c>
      <c r="C50" s="291">
        <v>1182.22</v>
      </c>
      <c r="D50" s="292"/>
      <c r="E50" s="275"/>
      <c r="F50" s="421"/>
      <c r="G50" s="421"/>
    </row>
    <row r="51" spans="1:7" ht="12.75">
      <c r="A51" s="17">
        <v>4457100</v>
      </c>
      <c r="B51" s="14" t="s">
        <v>34</v>
      </c>
      <c r="C51" s="291"/>
      <c r="D51" s="292">
        <v>3155.75</v>
      </c>
      <c r="E51" s="275"/>
      <c r="F51" s="421"/>
      <c r="G51" s="421"/>
    </row>
    <row r="52" spans="1:7" ht="12.75">
      <c r="A52" s="290">
        <v>4458600</v>
      </c>
      <c r="B52" s="359" t="s">
        <v>652</v>
      </c>
      <c r="C52" s="281">
        <f>'Comptab.'!G94</f>
        <v>44.1</v>
      </c>
      <c r="D52" s="292"/>
      <c r="E52" s="275"/>
      <c r="F52" s="421"/>
      <c r="G52" s="421"/>
    </row>
    <row r="53" spans="1:7" ht="12.75">
      <c r="A53" s="290">
        <v>4458700</v>
      </c>
      <c r="B53" s="359" t="s">
        <v>603</v>
      </c>
      <c r="C53" s="291"/>
      <c r="D53" s="292">
        <f>'Comptab.'!H91</f>
        <v>61.6</v>
      </c>
      <c r="E53" s="275"/>
      <c r="F53" s="421"/>
      <c r="G53" s="421"/>
    </row>
    <row r="54" spans="1:7" ht="12.75">
      <c r="A54" s="290">
        <v>4860000</v>
      </c>
      <c r="B54" s="282" t="s">
        <v>594</v>
      </c>
      <c r="C54" s="281">
        <f>'Comptab.'!G80+'Comptab.'!G97</f>
        <v>3087.3599999999997</v>
      </c>
      <c r="D54" s="292"/>
      <c r="E54" s="275"/>
      <c r="F54" s="421"/>
      <c r="G54" s="421"/>
    </row>
    <row r="55" spans="1:7" ht="12.75">
      <c r="A55" s="290">
        <v>4870000</v>
      </c>
      <c r="B55" s="282" t="s">
        <v>593</v>
      </c>
      <c r="C55" s="291"/>
      <c r="D55" s="285">
        <f>'Comptab.'!H87</f>
        <v>400</v>
      </c>
      <c r="E55" s="275"/>
      <c r="F55" s="421"/>
      <c r="G55" s="421"/>
    </row>
    <row r="56" spans="1:7" ht="12.75">
      <c r="A56" s="290">
        <v>4910000</v>
      </c>
      <c r="B56" s="282" t="s">
        <v>493</v>
      </c>
      <c r="C56" s="281"/>
      <c r="D56" s="285">
        <f>C85</f>
        <v>6093</v>
      </c>
      <c r="E56" s="275"/>
      <c r="F56" s="421"/>
      <c r="G56" s="421"/>
    </row>
    <row r="57" spans="1:7" ht="12.75">
      <c r="A57" s="17">
        <v>5030000</v>
      </c>
      <c r="B57" s="14" t="s">
        <v>84</v>
      </c>
      <c r="C57" s="291">
        <v>3750</v>
      </c>
      <c r="D57" s="292"/>
      <c r="E57" s="275"/>
      <c r="F57" s="421"/>
      <c r="G57" s="421"/>
    </row>
    <row r="58" spans="1:7" ht="12.75">
      <c r="A58" s="17">
        <v>5120000</v>
      </c>
      <c r="B58" s="14" t="s">
        <v>349</v>
      </c>
      <c r="C58" s="291">
        <v>13157.85</v>
      </c>
      <c r="D58" s="292"/>
      <c r="E58" s="275"/>
      <c r="F58" s="421"/>
      <c r="G58" s="421"/>
    </row>
    <row r="59" spans="1:7" ht="12.75">
      <c r="A59" s="17">
        <v>5310000</v>
      </c>
      <c r="B59" s="14" t="s">
        <v>36</v>
      </c>
      <c r="C59" s="291">
        <v>657.93</v>
      </c>
      <c r="D59" s="292"/>
      <c r="E59" s="286">
        <f>ROUND(SUM(C5:C59),2)</f>
        <v>845612.08</v>
      </c>
      <c r="F59" s="286">
        <f>ROUND(SUM(D5:D59),2)</f>
        <v>779805.1</v>
      </c>
      <c r="G59" s="295">
        <f>E59-F59</f>
        <v>65806.97999999998</v>
      </c>
    </row>
    <row r="60" spans="1:7" ht="12.75">
      <c r="A60" s="17">
        <v>6010000</v>
      </c>
      <c r="B60" s="14" t="s">
        <v>37</v>
      </c>
      <c r="C60" s="291">
        <v>292876.8</v>
      </c>
      <c r="D60" s="292"/>
      <c r="E60" s="275"/>
      <c r="F60" s="421"/>
      <c r="G60" s="420"/>
    </row>
    <row r="61" spans="1:7" ht="12.75">
      <c r="A61" s="17">
        <v>6020000</v>
      </c>
      <c r="B61" s="14" t="s">
        <v>353</v>
      </c>
      <c r="C61" s="291">
        <v>58719.19</v>
      </c>
      <c r="D61" s="292"/>
      <c r="E61" s="275"/>
      <c r="F61" s="421"/>
      <c r="G61" s="421"/>
    </row>
    <row r="62" spans="1:7" ht="12.75">
      <c r="A62" s="290">
        <v>6031000</v>
      </c>
      <c r="B62" s="289" t="s">
        <v>496</v>
      </c>
      <c r="C62" s="281">
        <f>ROUND('Comptab.'!G48-'Comptab.'!H56,2)</f>
        <v>432.52</v>
      </c>
      <c r="D62" s="285"/>
      <c r="E62" s="275"/>
      <c r="F62" s="421"/>
      <c r="G62" s="421"/>
    </row>
    <row r="63" spans="1:7" ht="12.75">
      <c r="A63" s="17">
        <v>6060000</v>
      </c>
      <c r="B63" s="14" t="s">
        <v>595</v>
      </c>
      <c r="C63" s="281">
        <f>ROUND(18014.62-'Comptab.'!H98+'Comptab.'!G93,2)</f>
        <v>16939.62</v>
      </c>
      <c r="D63" s="292"/>
      <c r="E63" s="275"/>
      <c r="F63" s="421"/>
      <c r="G63" s="421"/>
    </row>
    <row r="64" spans="1:7" ht="12.75">
      <c r="A64" s="17">
        <v>6091000</v>
      </c>
      <c r="B64" s="14" t="s">
        <v>38</v>
      </c>
      <c r="C64" s="291"/>
      <c r="D64" s="292">
        <v>7192.8</v>
      </c>
      <c r="E64" s="275"/>
      <c r="F64" s="421"/>
      <c r="G64" s="421"/>
    </row>
    <row r="65" spans="1:7" ht="12.75">
      <c r="A65" s="17">
        <v>6120000</v>
      </c>
      <c r="B65" s="14" t="s">
        <v>39</v>
      </c>
      <c r="C65" s="291">
        <v>16200</v>
      </c>
      <c r="D65" s="292"/>
      <c r="E65" s="275"/>
      <c r="F65" s="421"/>
      <c r="G65" s="421"/>
    </row>
    <row r="66" spans="1:7" ht="12.75">
      <c r="A66" s="17">
        <v>6130000</v>
      </c>
      <c r="B66" s="14" t="s">
        <v>89</v>
      </c>
      <c r="C66" s="291">
        <v>66600</v>
      </c>
      <c r="D66" s="292"/>
      <c r="E66" s="275"/>
      <c r="F66" s="421"/>
      <c r="G66" s="421"/>
    </row>
    <row r="67" spans="1:7" ht="12.75">
      <c r="A67" s="17">
        <v>6140000</v>
      </c>
      <c r="B67" s="14" t="s">
        <v>95</v>
      </c>
      <c r="C67" s="291">
        <v>4768</v>
      </c>
      <c r="D67" s="292"/>
      <c r="E67" s="275"/>
      <c r="F67" s="421"/>
      <c r="G67" s="421"/>
    </row>
    <row r="68" spans="1:7" ht="12.75">
      <c r="A68" s="17">
        <v>6150000</v>
      </c>
      <c r="B68" s="14" t="s">
        <v>40</v>
      </c>
      <c r="C68" s="291">
        <v>7750</v>
      </c>
      <c r="D68" s="292"/>
      <c r="E68" s="275"/>
      <c r="F68" s="421"/>
      <c r="G68" s="421"/>
    </row>
    <row r="69" spans="1:7" ht="12.75">
      <c r="A69" s="17">
        <v>6160000</v>
      </c>
      <c r="B69" s="14" t="s">
        <v>41</v>
      </c>
      <c r="C69" s="291">
        <f>6850-'Comptab.'!H81</f>
        <v>5062.64</v>
      </c>
      <c r="D69" s="292"/>
      <c r="E69" s="275"/>
      <c r="F69" s="421"/>
      <c r="G69" s="421"/>
    </row>
    <row r="70" spans="1:7" ht="12.75">
      <c r="A70" s="186">
        <v>6180000</v>
      </c>
      <c r="B70" s="14" t="s">
        <v>90</v>
      </c>
      <c r="C70" s="291">
        <v>728</v>
      </c>
      <c r="D70" s="292"/>
      <c r="E70" s="275"/>
      <c r="F70" s="421"/>
      <c r="G70" s="421"/>
    </row>
    <row r="71" spans="1:7" ht="12.75">
      <c r="A71" s="186">
        <v>6230000</v>
      </c>
      <c r="B71" s="14" t="s">
        <v>91</v>
      </c>
      <c r="C71" s="291">
        <v>782.8</v>
      </c>
      <c r="D71" s="292"/>
      <c r="E71" s="275"/>
      <c r="F71" s="421"/>
      <c r="G71" s="421"/>
    </row>
    <row r="72" spans="1:7" ht="12.75">
      <c r="A72" s="186">
        <v>6260000</v>
      </c>
      <c r="B72" s="14" t="s">
        <v>42</v>
      </c>
      <c r="C72" s="291">
        <v>1097</v>
      </c>
      <c r="D72" s="292"/>
      <c r="E72" s="275"/>
      <c r="F72" s="421"/>
      <c r="G72" s="421"/>
    </row>
    <row r="73" spans="1:7" ht="12.75">
      <c r="A73" s="186">
        <v>6270000</v>
      </c>
      <c r="B73" s="14" t="s">
        <v>43</v>
      </c>
      <c r="C73" s="291">
        <v>2143.8</v>
      </c>
      <c r="D73" s="292"/>
      <c r="E73" s="275"/>
      <c r="F73" s="421"/>
      <c r="G73" s="421"/>
    </row>
    <row r="74" spans="1:7" ht="12.75">
      <c r="A74" s="186">
        <v>6310000</v>
      </c>
      <c r="B74" s="14" t="s">
        <v>93</v>
      </c>
      <c r="C74" s="291">
        <v>4159.6</v>
      </c>
      <c r="D74" s="292"/>
      <c r="E74" s="275"/>
      <c r="F74" s="421"/>
      <c r="G74" s="421"/>
    </row>
    <row r="75" spans="1:7" ht="12.75">
      <c r="A75" s="186">
        <v>6350000</v>
      </c>
      <c r="B75" s="14" t="s">
        <v>92</v>
      </c>
      <c r="C75" s="291">
        <v>9807</v>
      </c>
      <c r="D75" s="292"/>
      <c r="E75" s="275"/>
      <c r="F75" s="421"/>
      <c r="G75" s="421"/>
    </row>
    <row r="76" spans="1:7" ht="12.75">
      <c r="A76" s="186">
        <v>6410000</v>
      </c>
      <c r="B76" s="14" t="s">
        <v>44</v>
      </c>
      <c r="C76" s="291">
        <v>340410.8</v>
      </c>
      <c r="D76" s="292"/>
      <c r="E76" s="275"/>
      <c r="F76" s="421"/>
      <c r="G76" s="421"/>
    </row>
    <row r="77" spans="1:7" ht="12.75">
      <c r="A77" s="186">
        <v>6450000</v>
      </c>
      <c r="B77" s="14" t="s">
        <v>45</v>
      </c>
      <c r="C77" s="291">
        <v>167425</v>
      </c>
      <c r="D77" s="292"/>
      <c r="E77" s="275"/>
      <c r="F77" s="421"/>
      <c r="G77" s="421"/>
    </row>
    <row r="78" spans="1:7" ht="12.75">
      <c r="A78" s="186">
        <v>6610000</v>
      </c>
      <c r="B78" s="14" t="s">
        <v>46</v>
      </c>
      <c r="C78" s="291">
        <f>8107.6+'Comptab.'!G83</f>
        <v>12427.6</v>
      </c>
      <c r="D78" s="292"/>
      <c r="E78" s="286"/>
      <c r="F78" s="421"/>
      <c r="G78" s="421"/>
    </row>
    <row r="79" spans="1:7" ht="12.75">
      <c r="A79" s="186">
        <v>6650000</v>
      </c>
      <c r="B79" s="14" t="s">
        <v>351</v>
      </c>
      <c r="C79" s="291">
        <v>2881.62</v>
      </c>
      <c r="D79" s="292"/>
      <c r="E79" s="541"/>
      <c r="F79" s="542"/>
      <c r="G79" s="421"/>
    </row>
    <row r="80" spans="1:7" ht="12.75">
      <c r="A80" s="186">
        <v>6710000</v>
      </c>
      <c r="B80" s="14" t="s">
        <v>97</v>
      </c>
      <c r="C80" s="291">
        <v>2127.6</v>
      </c>
      <c r="D80" s="292"/>
      <c r="E80" s="433"/>
      <c r="F80" s="463"/>
      <c r="G80" s="421"/>
    </row>
    <row r="81" spans="1:7" ht="12.75">
      <c r="A81" s="293">
        <v>6750000</v>
      </c>
      <c r="B81" s="282" t="s">
        <v>470</v>
      </c>
      <c r="C81" s="281">
        <f>'Comptab.'!G45</f>
        <v>3344</v>
      </c>
      <c r="D81" s="292"/>
      <c r="E81" s="275"/>
      <c r="F81" s="420"/>
      <c r="G81" s="420"/>
    </row>
    <row r="82" spans="1:7" ht="12.75">
      <c r="A82" s="293">
        <v>6811000</v>
      </c>
      <c r="B82" s="282" t="s">
        <v>477</v>
      </c>
      <c r="C82" s="281">
        <f>ROUND('Comptab.'!G29+'Comptab.'!G30,2)</f>
        <v>41049.33</v>
      </c>
      <c r="D82" s="285"/>
      <c r="E82" s="275"/>
      <c r="F82" s="420"/>
      <c r="G82" s="421"/>
    </row>
    <row r="83" spans="1:7" ht="12.75">
      <c r="A83" s="293">
        <v>6815000</v>
      </c>
      <c r="B83" s="282" t="s">
        <v>495</v>
      </c>
      <c r="C83" s="281">
        <f>7500</f>
        <v>7500</v>
      </c>
      <c r="D83" s="285"/>
      <c r="E83" s="275"/>
      <c r="F83" s="421"/>
      <c r="G83" s="421"/>
    </row>
    <row r="84" spans="1:7" ht="12.75">
      <c r="A84" s="293">
        <v>6817300</v>
      </c>
      <c r="B84" s="282" t="s">
        <v>490</v>
      </c>
      <c r="C84" s="281">
        <v>1200</v>
      </c>
      <c r="D84" s="285"/>
      <c r="E84" s="275"/>
      <c r="F84" s="421"/>
      <c r="G84" s="421"/>
    </row>
    <row r="85" spans="1:7" ht="12.75">
      <c r="A85" s="293">
        <v>6817400</v>
      </c>
      <c r="B85" s="282" t="s">
        <v>491</v>
      </c>
      <c r="C85" s="281">
        <f>12145.38/1.196*60%</f>
        <v>6093</v>
      </c>
      <c r="D85" s="285"/>
      <c r="E85" s="275"/>
      <c r="F85" s="421"/>
      <c r="G85" s="421"/>
    </row>
    <row r="86" spans="1:7" ht="12.75">
      <c r="A86" s="293">
        <v>6872500</v>
      </c>
      <c r="B86" s="282" t="s">
        <v>471</v>
      </c>
      <c r="C86" s="281">
        <f>ROUND('Comptab.'!G74,2)</f>
        <v>3487.92</v>
      </c>
      <c r="D86" s="285"/>
      <c r="E86" s="275"/>
      <c r="F86" s="420"/>
      <c r="G86" s="421"/>
    </row>
    <row r="87" spans="1:7" ht="12.75">
      <c r="A87" s="186">
        <v>6950000</v>
      </c>
      <c r="B87" s="14" t="s">
        <v>94</v>
      </c>
      <c r="C87" s="291">
        <f>26342-172</f>
        <v>26170</v>
      </c>
      <c r="D87" s="292"/>
      <c r="E87" s="464"/>
      <c r="F87" s="465"/>
      <c r="G87" s="421"/>
    </row>
    <row r="88" spans="1:7" ht="12.75">
      <c r="A88" s="186">
        <v>7010000</v>
      </c>
      <c r="B88" s="14" t="s">
        <v>350</v>
      </c>
      <c r="C88" s="291"/>
      <c r="D88" s="27">
        <f>1149540.95+'Comptab.'!H90</f>
        <v>1150660.95</v>
      </c>
      <c r="E88" s="464"/>
      <c r="F88" s="465"/>
      <c r="G88" s="421"/>
    </row>
    <row r="89" spans="1:7" ht="12.75">
      <c r="A89" s="186">
        <v>7080000</v>
      </c>
      <c r="B89" s="14" t="s">
        <v>96</v>
      </c>
      <c r="C89" s="291"/>
      <c r="D89" s="292">
        <v>3416.12</v>
      </c>
      <c r="E89" s="275"/>
      <c r="F89" s="420"/>
      <c r="G89" s="421"/>
    </row>
    <row r="90" spans="1:7" ht="12.75">
      <c r="A90" s="186">
        <v>7091000</v>
      </c>
      <c r="B90" s="14" t="s">
        <v>355</v>
      </c>
      <c r="C90" s="291">
        <v>6235.66</v>
      </c>
      <c r="D90" s="292"/>
      <c r="E90" s="275"/>
      <c r="F90" s="421"/>
      <c r="G90" s="421"/>
    </row>
    <row r="91" spans="1:7" ht="12.75">
      <c r="A91" s="293">
        <v>7135500</v>
      </c>
      <c r="B91" s="289" t="s">
        <v>497</v>
      </c>
      <c r="C91" s="291"/>
      <c r="D91" s="285">
        <f>'Comptab.'!H58-'Comptab.'!G51</f>
        <v>-1328.2000000000007</v>
      </c>
      <c r="E91" s="275"/>
      <c r="F91" s="421"/>
      <c r="G91" s="421"/>
    </row>
    <row r="92" spans="1:7" ht="12.75">
      <c r="A92" s="186">
        <v>7520000</v>
      </c>
      <c r="B92" s="14" t="s">
        <v>599</v>
      </c>
      <c r="C92" s="29"/>
      <c r="D92" s="285">
        <f>2400-'Comptab.'!G86</f>
        <v>2000</v>
      </c>
      <c r="E92" s="275"/>
      <c r="F92" s="421"/>
      <c r="G92" s="421"/>
    </row>
    <row r="93" spans="1:7" ht="12.75">
      <c r="A93" s="186">
        <v>7580000</v>
      </c>
      <c r="B93" s="14" t="s">
        <v>47</v>
      </c>
      <c r="C93" s="291"/>
      <c r="D93" s="292">
        <v>189.6</v>
      </c>
      <c r="E93" s="275"/>
      <c r="F93" s="421"/>
      <c r="G93" s="421"/>
    </row>
    <row r="94" spans="1:7" ht="12.75">
      <c r="A94" s="186">
        <v>7650000</v>
      </c>
      <c r="B94" s="14" t="s">
        <v>48</v>
      </c>
      <c r="C94" s="291"/>
      <c r="D94" s="292">
        <v>4123.78</v>
      </c>
      <c r="E94" s="275"/>
      <c r="F94" s="421"/>
      <c r="G94" s="421"/>
    </row>
    <row r="95" spans="1:7" ht="12.75">
      <c r="A95" s="17">
        <v>7710000</v>
      </c>
      <c r="B95" s="14" t="s">
        <v>494</v>
      </c>
      <c r="C95" s="291"/>
      <c r="D95" s="292">
        <v>354.55</v>
      </c>
      <c r="E95" s="275"/>
      <c r="F95" s="421"/>
      <c r="G95" s="421"/>
    </row>
    <row r="96" spans="1:7" ht="12.75">
      <c r="A96" s="17">
        <v>7750000</v>
      </c>
      <c r="B96" s="14" t="s">
        <v>451</v>
      </c>
      <c r="C96" s="291"/>
      <c r="D96" s="292">
        <v>4000</v>
      </c>
      <c r="E96" s="275"/>
      <c r="F96" s="421"/>
      <c r="G96" s="421"/>
    </row>
    <row r="97" spans="1:7" ht="12.75">
      <c r="A97" s="293">
        <v>7817300</v>
      </c>
      <c r="B97" s="282" t="s">
        <v>499</v>
      </c>
      <c r="C97" s="291"/>
      <c r="D97" s="285">
        <f>'Bal. av. invent.'!D39</f>
        <v>1750</v>
      </c>
      <c r="E97" s="275"/>
      <c r="F97" s="421"/>
      <c r="G97" s="421"/>
    </row>
    <row r="98" spans="1:7" ht="12.75">
      <c r="A98" s="293">
        <v>7872500</v>
      </c>
      <c r="B98" s="282" t="s">
        <v>474</v>
      </c>
      <c r="C98" s="291"/>
      <c r="D98" s="285">
        <f>ROUND('Comptab.'!H78,2)</f>
        <v>1866.88</v>
      </c>
      <c r="E98" s="286">
        <f>ROUND(SUM(C60:C98),2)</f>
        <v>1108419.5</v>
      </c>
      <c r="F98" s="286">
        <f>ROUND(SUM(D60:D98),2)</f>
        <v>1174226.48</v>
      </c>
      <c r="G98" s="295">
        <f>F98-E98</f>
        <v>65806.97999999998</v>
      </c>
    </row>
    <row r="99" spans="1:7" ht="13.5" thickBot="1">
      <c r="A99" s="28"/>
      <c r="B99" s="32" t="s">
        <v>49</v>
      </c>
      <c r="C99" s="287">
        <f>SUM(C5:C98)</f>
        <v>1954031.5800000003</v>
      </c>
      <c r="D99" s="288">
        <f>SUM(D5:D98)</f>
        <v>1954031.58</v>
      </c>
      <c r="E99" s="286"/>
      <c r="F99" s="275"/>
      <c r="G99" s="286"/>
    </row>
    <row r="100" spans="5:7" ht="13.5" thickTop="1">
      <c r="E100" s="421"/>
      <c r="F100" s="421"/>
      <c r="G100" s="420"/>
    </row>
    <row r="101" spans="5:7" ht="12.75">
      <c r="E101" s="420"/>
      <c r="F101" s="13"/>
      <c r="G101" s="13"/>
    </row>
    <row r="102" ht="12.75">
      <c r="E102" s="2"/>
    </row>
    <row r="103" spans="5:6" ht="12.75">
      <c r="E103" s="2"/>
      <c r="F103" s="2"/>
    </row>
  </sheetData>
  <mergeCells count="4">
    <mergeCell ref="A1:D1"/>
    <mergeCell ref="C3:D3"/>
    <mergeCell ref="E79:F79"/>
    <mergeCell ref="E4:F4"/>
  </mergeCells>
  <printOptions horizontalCentered="1" verticalCentered="1"/>
  <pageMargins left="0.3937007874015748" right="0" top="0.3937007874015748" bottom="0.3937007874015748" header="0.31496062992125984" footer="0.31496062992125984"/>
  <pageSetup fitToHeight="1" fitToWidth="1" orientation="portrait" paperSize="9" scale="63" r:id="rId1"/>
  <headerFooter alignWithMargins="0">
    <oddFooter>&amp;R&amp;"Arial,Italique"&amp;8 6 -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5" zoomScaleNormal="75" workbookViewId="0" topLeftCell="A13">
      <selection activeCell="F6" sqref="F6"/>
    </sheetView>
  </sheetViews>
  <sheetFormatPr defaultColWidth="11.421875" defaultRowHeight="12.75"/>
  <cols>
    <col min="1" max="1" width="49.8515625" style="0" customWidth="1"/>
    <col min="2" max="3" width="13.57421875" style="0" customWidth="1"/>
    <col min="4" max="4" width="56.8515625" style="0" customWidth="1"/>
    <col min="5" max="5" width="13.7109375" style="0" customWidth="1"/>
    <col min="6" max="6" width="13.421875" style="0" customWidth="1"/>
    <col min="7" max="7" width="11.7109375" style="0" bestFit="1" customWidth="1"/>
  </cols>
  <sheetData>
    <row r="1" spans="1:6" ht="18.75">
      <c r="A1" s="499" t="s">
        <v>156</v>
      </c>
      <c r="B1" s="499"/>
      <c r="C1" s="499"/>
      <c r="D1" s="499"/>
      <c r="E1" s="499"/>
      <c r="F1" s="499"/>
    </row>
    <row r="2" ht="13.5" thickBot="1"/>
    <row r="3" spans="1:6" ht="18" customHeight="1" thickTop="1">
      <c r="A3" s="92" t="s">
        <v>157</v>
      </c>
      <c r="B3" s="93" t="s">
        <v>158</v>
      </c>
      <c r="C3" s="94" t="s">
        <v>159</v>
      </c>
      <c r="D3" s="95" t="s">
        <v>160</v>
      </c>
      <c r="E3" s="93" t="s">
        <v>158</v>
      </c>
      <c r="F3" s="96" t="s">
        <v>159</v>
      </c>
    </row>
    <row r="4" spans="1:6" ht="18" customHeight="1">
      <c r="A4" s="20" t="s">
        <v>161</v>
      </c>
      <c r="B4" s="14"/>
      <c r="C4" s="26" t="s">
        <v>162</v>
      </c>
      <c r="D4" s="3" t="s">
        <v>163</v>
      </c>
      <c r="E4" s="14"/>
      <c r="F4" s="27"/>
    </row>
    <row r="5" spans="1:6" ht="18" customHeight="1">
      <c r="A5" s="20" t="s">
        <v>164</v>
      </c>
      <c r="B5" s="282"/>
      <c r="C5" s="26"/>
      <c r="D5" s="3" t="s">
        <v>165</v>
      </c>
      <c r="E5" s="282"/>
      <c r="F5" s="27"/>
    </row>
    <row r="6" spans="1:7" ht="18" customHeight="1">
      <c r="A6" s="20" t="s">
        <v>166</v>
      </c>
      <c r="B6" s="282"/>
      <c r="C6" s="26"/>
      <c r="D6" s="3" t="s">
        <v>167</v>
      </c>
      <c r="E6" s="281">
        <f>'Bal. après invent'!D88+'Bal. après invent'!D89-'Bal. après invent'!C90</f>
        <v>1147841.4100000001</v>
      </c>
      <c r="F6" s="27">
        <v>1032348.73</v>
      </c>
      <c r="G6" s="2"/>
    </row>
    <row r="7" spans="1:6" ht="18" customHeight="1">
      <c r="A7" s="20" t="s">
        <v>168</v>
      </c>
      <c r="B7" s="281">
        <f>'Bal. après invent'!C60+'Bal. après invent'!C61-'Bal. après invent'!D64</f>
        <v>344403.19</v>
      </c>
      <c r="C7" s="75">
        <v>306132.45</v>
      </c>
      <c r="D7" s="97" t="s">
        <v>169</v>
      </c>
      <c r="E7" s="317"/>
      <c r="F7" s="424"/>
    </row>
    <row r="8" spans="1:6" ht="18" customHeight="1">
      <c r="A8" s="20" t="s">
        <v>166</v>
      </c>
      <c r="B8" s="281">
        <f>'Bal. après invent'!C62</f>
        <v>432.52</v>
      </c>
      <c r="C8" s="75">
        <v>-615.56</v>
      </c>
      <c r="D8" s="99" t="s">
        <v>170</v>
      </c>
      <c r="E8" s="282"/>
      <c r="F8" s="27"/>
    </row>
    <row r="9" spans="1:6" ht="18" customHeight="1">
      <c r="A9" s="20" t="s">
        <v>171</v>
      </c>
      <c r="B9" s="281">
        <f>'Bal. après invent'!C63+'Bal. après invent'!C65+'Bal. après invent'!C66+'Bal. après invent'!C67+'Bal. après invent'!C68+'Bal. après invent'!C69+'Bal. après invent'!C70+'Bal. après invent'!C71+'Bal. après invent'!C72+'Bal. après invent'!C73</f>
        <v>122071.86</v>
      </c>
      <c r="C9" s="75">
        <v>128219.75</v>
      </c>
      <c r="D9" s="3" t="s">
        <v>172</v>
      </c>
      <c r="E9" s="281">
        <f>'Bal. après invent'!D91</f>
        <v>-1328.2000000000007</v>
      </c>
      <c r="F9" s="27">
        <v>2128.54</v>
      </c>
    </row>
    <row r="10" spans="1:6" ht="18" customHeight="1">
      <c r="A10" s="20" t="s">
        <v>173</v>
      </c>
      <c r="B10" s="281">
        <f>'Bal. après invent'!C74+'Bal. après invent'!C75</f>
        <v>13966.6</v>
      </c>
      <c r="C10" s="75">
        <v>11465.35</v>
      </c>
      <c r="D10" s="3" t="s">
        <v>174</v>
      </c>
      <c r="E10" s="282"/>
      <c r="F10" s="27"/>
    </row>
    <row r="11" spans="1:6" ht="18" customHeight="1">
      <c r="A11" s="20" t="s">
        <v>175</v>
      </c>
      <c r="B11" s="281">
        <f>'Bal. après invent'!C76</f>
        <v>340410.8</v>
      </c>
      <c r="C11" s="75">
        <v>302123.45</v>
      </c>
      <c r="D11" s="3" t="s">
        <v>176</v>
      </c>
      <c r="E11" s="282"/>
      <c r="F11" s="27"/>
    </row>
    <row r="12" spans="1:6" ht="18" customHeight="1">
      <c r="A12" s="20" t="s">
        <v>177</v>
      </c>
      <c r="B12" s="281">
        <f>'Bal. après invent'!C77</f>
        <v>167425</v>
      </c>
      <c r="C12" s="75">
        <v>149795.6</v>
      </c>
      <c r="D12" s="3" t="s">
        <v>178</v>
      </c>
      <c r="E12" s="281">
        <f>'Bal. après invent'!D97</f>
        <v>1750</v>
      </c>
      <c r="F12" s="27">
        <v>1125</v>
      </c>
    </row>
    <row r="13" spans="1:6" ht="18" customHeight="1">
      <c r="A13" s="20" t="s">
        <v>179</v>
      </c>
      <c r="B13" s="282"/>
      <c r="C13" s="75"/>
      <c r="D13" s="100" t="s">
        <v>180</v>
      </c>
      <c r="E13" s="319">
        <f>'Bal. après invent'!D93+'Bal. après invent'!D92</f>
        <v>2189.6</v>
      </c>
      <c r="F13" s="426">
        <v>312.5</v>
      </c>
    </row>
    <row r="14" spans="1:6" ht="18" customHeight="1">
      <c r="A14" s="20" t="s">
        <v>181</v>
      </c>
      <c r="B14" s="281">
        <f>'Bal. après invent'!C82</f>
        <v>41049.33</v>
      </c>
      <c r="C14" s="75">
        <f>Présentation!P8+Présentation!P9+Présentation!P10+Présentation!P12+Présentation!P13+Présentation!P15+Présentation!P17+Présentation!P19+Présentation!P20+Présentation!P22</f>
        <v>39670</v>
      </c>
      <c r="D14" s="101" t="s">
        <v>182</v>
      </c>
      <c r="E14" s="317"/>
      <c r="F14" s="426"/>
    </row>
    <row r="15" spans="1:6" ht="18" customHeight="1">
      <c r="A15" s="20" t="s">
        <v>183</v>
      </c>
      <c r="B15" s="281"/>
      <c r="C15" s="75"/>
      <c r="D15" s="102" t="s">
        <v>184</v>
      </c>
      <c r="E15" s="320">
        <f>SUM(E5:E14)</f>
        <v>1150452.8100000003</v>
      </c>
      <c r="F15" s="427">
        <f>SUM(F5:F14)</f>
        <v>1035914.77</v>
      </c>
    </row>
    <row r="16" spans="1:6" ht="18" customHeight="1">
      <c r="A16" s="20" t="s">
        <v>185</v>
      </c>
      <c r="B16" s="281">
        <f>'Bal. après invent'!C84+'Bal. après invent'!C85</f>
        <v>7293</v>
      </c>
      <c r="C16" s="75">
        <f>'Bal. av. invent.'!D35+'Bal. av. invent.'!D39</f>
        <v>2890</v>
      </c>
      <c r="D16" s="103"/>
      <c r="E16" s="98"/>
      <c r="F16" s="426"/>
    </row>
    <row r="17" spans="1:6" ht="18" customHeight="1">
      <c r="A17" s="20" t="s">
        <v>186</v>
      </c>
      <c r="B17" s="281">
        <f>'Bal. après invent'!C83</f>
        <v>7500</v>
      </c>
      <c r="C17" s="75">
        <f>'Bal. av. invent.'!D10</f>
        <v>3750</v>
      </c>
      <c r="D17" s="101" t="s">
        <v>187</v>
      </c>
      <c r="E17" s="317"/>
      <c r="F17" s="426"/>
    </row>
    <row r="18" spans="1:6" ht="18" customHeight="1">
      <c r="A18" s="20" t="s">
        <v>188</v>
      </c>
      <c r="B18" s="282"/>
      <c r="C18" s="75"/>
      <c r="D18" s="3" t="s">
        <v>189</v>
      </c>
      <c r="E18" s="282"/>
      <c r="F18" s="27"/>
    </row>
    <row r="19" spans="1:6" ht="18" customHeight="1">
      <c r="A19" s="102" t="s">
        <v>190</v>
      </c>
      <c r="B19" s="316">
        <f>SUM(B5:B18)</f>
        <v>1044552.2999999999</v>
      </c>
      <c r="C19" s="423">
        <f>SUM(C7:C18)</f>
        <v>943431.0399999999</v>
      </c>
      <c r="D19" s="3" t="s">
        <v>191</v>
      </c>
      <c r="E19" s="282"/>
      <c r="F19" s="27"/>
    </row>
    <row r="20" spans="1:6" ht="18" customHeight="1">
      <c r="A20" s="97" t="s">
        <v>187</v>
      </c>
      <c r="B20" s="317"/>
      <c r="C20" s="424"/>
      <c r="D20" s="3" t="s">
        <v>192</v>
      </c>
      <c r="E20" s="282"/>
      <c r="F20" s="27"/>
    </row>
    <row r="21" spans="1:6" ht="18" customHeight="1">
      <c r="A21" s="36" t="s">
        <v>193</v>
      </c>
      <c r="B21" s="282"/>
      <c r="C21" s="75"/>
      <c r="D21" s="3" t="s">
        <v>194</v>
      </c>
      <c r="E21" s="281">
        <f>'Bal. après invent'!D94</f>
        <v>4123.78</v>
      </c>
      <c r="F21" s="27">
        <v>3976.42</v>
      </c>
    </row>
    <row r="22" spans="1:6" ht="18" customHeight="1">
      <c r="A22" s="20" t="s">
        <v>195</v>
      </c>
      <c r="B22" s="282"/>
      <c r="C22" s="75"/>
      <c r="D22" s="3" t="s">
        <v>196</v>
      </c>
      <c r="E22" s="282"/>
      <c r="F22" s="27"/>
    </row>
    <row r="23" spans="1:6" ht="18" customHeight="1">
      <c r="A23" s="20" t="s">
        <v>197</v>
      </c>
      <c r="B23" s="281">
        <f>'Bal. après invent'!C78+'Bal. après invent'!C79</f>
        <v>15309.220000000001</v>
      </c>
      <c r="C23" s="75">
        <v>11154.63</v>
      </c>
      <c r="D23" s="20" t="s">
        <v>198</v>
      </c>
      <c r="E23" s="282"/>
      <c r="F23" s="27"/>
    </row>
    <row r="24" spans="1:6" ht="18" customHeight="1">
      <c r="A24" s="20" t="s">
        <v>199</v>
      </c>
      <c r="B24" s="282"/>
      <c r="C24" s="75"/>
      <c r="D24" s="20" t="s">
        <v>200</v>
      </c>
      <c r="E24" s="282"/>
      <c r="F24" s="27"/>
    </row>
    <row r="25" spans="1:6" ht="18" customHeight="1">
      <c r="A25" s="20" t="s">
        <v>201</v>
      </c>
      <c r="B25" s="282"/>
      <c r="C25" s="75"/>
      <c r="E25" s="282"/>
      <c r="F25" s="27"/>
    </row>
    <row r="26" spans="1:6" ht="18" customHeight="1">
      <c r="A26" s="102" t="s">
        <v>202</v>
      </c>
      <c r="B26" s="316">
        <f>SUM(B22:B25)</f>
        <v>15309.220000000001</v>
      </c>
      <c r="C26" s="423">
        <f>SUM(C22:C25)</f>
        <v>11154.63</v>
      </c>
      <c r="D26" s="102" t="s">
        <v>202</v>
      </c>
      <c r="E26" s="320">
        <f>SUM(E18:E25)</f>
        <v>4123.78</v>
      </c>
      <c r="F26" s="427">
        <f>SUM(F18:F25)</f>
        <v>3976.42</v>
      </c>
    </row>
    <row r="27" spans="1:6" ht="18" customHeight="1">
      <c r="A27" s="36" t="s">
        <v>203</v>
      </c>
      <c r="B27" s="282"/>
      <c r="C27" s="75"/>
      <c r="D27" s="36" t="s">
        <v>204</v>
      </c>
      <c r="E27" s="282"/>
      <c r="F27" s="27"/>
    </row>
    <row r="28" spans="1:6" ht="18" customHeight="1">
      <c r="A28" s="20" t="s">
        <v>205</v>
      </c>
      <c r="B28" s="281">
        <f>'Bal. après invent'!C80</f>
        <v>2127.6</v>
      </c>
      <c r="C28" s="75">
        <v>1764.55</v>
      </c>
      <c r="D28" s="20" t="s">
        <v>205</v>
      </c>
      <c r="E28" s="281">
        <f>'Bal. après invent'!D95</f>
        <v>354.55</v>
      </c>
      <c r="F28" s="27">
        <v>652.25</v>
      </c>
    </row>
    <row r="29" spans="1:6" ht="18" customHeight="1">
      <c r="A29" s="20" t="s">
        <v>206</v>
      </c>
      <c r="B29" s="281">
        <f>'Bal. après invent'!C81</f>
        <v>3344</v>
      </c>
      <c r="C29" s="75"/>
      <c r="D29" s="20" t="s">
        <v>206</v>
      </c>
      <c r="E29" s="281">
        <f>'Bal. après invent'!D96</f>
        <v>4000</v>
      </c>
      <c r="F29" s="27"/>
    </row>
    <row r="30" spans="1:6" ht="18" customHeight="1">
      <c r="A30" s="20" t="s">
        <v>207</v>
      </c>
      <c r="B30" s="318">
        <f>'Bal. après invent'!C86</f>
        <v>3487.92</v>
      </c>
      <c r="C30" s="425">
        <f>Présentation!P11-Présentation!P10+Présentation!P16-Présentation!P15+Présentation!P18-Présentation!P17+Présentation!P23-Présentation!P22</f>
        <v>1718.75</v>
      </c>
      <c r="D30" s="3" t="s">
        <v>196</v>
      </c>
      <c r="E30" s="281">
        <f>'Bal. après invent'!D98</f>
        <v>1866.88</v>
      </c>
      <c r="F30" s="27">
        <f>Présentation!P13-Présentation!P14+Présentation!P20-Présentation!P21</f>
        <v>459.29999999999995</v>
      </c>
    </row>
    <row r="31" spans="1:6" ht="18" customHeight="1" thickBot="1">
      <c r="A31" s="102" t="s">
        <v>208</v>
      </c>
      <c r="B31" s="316">
        <f>SUM(B28:B30)</f>
        <v>8959.52</v>
      </c>
      <c r="C31" s="423">
        <f>SUM(C28:C30)</f>
        <v>3483.3</v>
      </c>
      <c r="D31" s="104" t="s">
        <v>208</v>
      </c>
      <c r="E31" s="321">
        <f>SUM(E28:E30)</f>
        <v>6221.43</v>
      </c>
      <c r="F31" s="428">
        <f>SUM(F28:F30)</f>
        <v>1111.55</v>
      </c>
    </row>
    <row r="32" spans="1:6" ht="18" customHeight="1">
      <c r="A32" s="36" t="s">
        <v>209</v>
      </c>
      <c r="B32" s="282"/>
      <c r="C32" s="75"/>
      <c r="D32" s="105" t="s">
        <v>210</v>
      </c>
      <c r="E32" s="545">
        <f>E15+E26+E31</f>
        <v>1160798.0200000003</v>
      </c>
      <c r="F32" s="547">
        <f>F15+F17+F26+F31</f>
        <v>1041002.7400000001</v>
      </c>
    </row>
    <row r="33" spans="1:6" ht="18" customHeight="1" thickBot="1">
      <c r="A33" s="36" t="s">
        <v>211</v>
      </c>
      <c r="B33" s="281">
        <f>'Bal. après invent'!C87</f>
        <v>26170</v>
      </c>
      <c r="C33" s="75">
        <v>23750</v>
      </c>
      <c r="D33" s="106" t="s">
        <v>212</v>
      </c>
      <c r="E33" s="546"/>
      <c r="F33" s="548"/>
    </row>
    <row r="34" spans="1:6" ht="18" customHeight="1">
      <c r="A34" s="105" t="s">
        <v>213</v>
      </c>
      <c r="B34" s="545">
        <f>B19+B20+B26+B31+B32+B33</f>
        <v>1094991.04</v>
      </c>
      <c r="C34" s="547">
        <f>C19+C20+C26+C31+C32+C33</f>
        <v>981818.97</v>
      </c>
      <c r="E34" s="282"/>
      <c r="F34" s="27"/>
    </row>
    <row r="35" spans="1:6" ht="18" customHeight="1" thickBot="1">
      <c r="A35" s="106" t="s">
        <v>214</v>
      </c>
      <c r="B35" s="546"/>
      <c r="C35" s="549"/>
      <c r="D35" s="17" t="s">
        <v>215</v>
      </c>
      <c r="E35" s="322"/>
      <c r="F35" s="27"/>
    </row>
    <row r="36" spans="1:6" ht="18" customHeight="1" thickBot="1">
      <c r="A36" s="17" t="s">
        <v>216</v>
      </c>
      <c r="B36" s="323">
        <f>IF(B34&lt;E32,E32-B34,"")</f>
        <v>65806.98000000021</v>
      </c>
      <c r="C36" s="75">
        <f>'Bilan PCG (de base)'!P19</f>
        <v>59183.77</v>
      </c>
      <c r="D36" s="3"/>
      <c r="E36" s="282"/>
      <c r="F36" s="27"/>
    </row>
    <row r="37" spans="1:6" ht="12.75">
      <c r="A37" s="554" t="s">
        <v>217</v>
      </c>
      <c r="B37" s="556">
        <f>B34+B36</f>
        <v>1160798.0200000003</v>
      </c>
      <c r="C37" s="552">
        <f>C34+C36</f>
        <v>1041002.74</v>
      </c>
      <c r="D37" s="554" t="s">
        <v>217</v>
      </c>
      <c r="E37" s="550">
        <f>E32+E35</f>
        <v>1160798.0200000003</v>
      </c>
      <c r="F37" s="552">
        <f>F32+F35</f>
        <v>1041002.7400000001</v>
      </c>
    </row>
    <row r="38" spans="1:6" ht="13.5" thickBot="1">
      <c r="A38" s="555"/>
      <c r="B38" s="557"/>
      <c r="C38" s="553"/>
      <c r="D38" s="555"/>
      <c r="E38" s="551"/>
      <c r="F38" s="553"/>
    </row>
    <row r="39" ht="13.5" thickTop="1">
      <c r="A39" t="s">
        <v>218</v>
      </c>
    </row>
    <row r="40" spans="1:3" ht="12.75">
      <c r="A40" t="s">
        <v>219</v>
      </c>
      <c r="C40" s="2"/>
    </row>
    <row r="41" ht="12.75">
      <c r="A41" t="s">
        <v>220</v>
      </c>
    </row>
    <row r="42" ht="12.75">
      <c r="F42" s="2"/>
    </row>
  </sheetData>
  <mergeCells count="11">
    <mergeCell ref="E37:E38"/>
    <mergeCell ref="F37:F38"/>
    <mergeCell ref="A37:A38"/>
    <mergeCell ref="D37:D38"/>
    <mergeCell ref="B37:B38"/>
    <mergeCell ref="C37:C38"/>
    <mergeCell ref="A1:F1"/>
    <mergeCell ref="E32:E33"/>
    <mergeCell ref="F32:F33"/>
    <mergeCell ref="B34:B35"/>
    <mergeCell ref="C34:C3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orientation="landscape" paperSize="9" scale="74" r:id="rId1"/>
  <headerFooter alignWithMargins="0">
    <oddFooter>&amp;R&amp;"Arial,Italique"&amp;8 7 -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G4">
      <selection activeCell="O19" sqref="O19"/>
    </sheetView>
  </sheetViews>
  <sheetFormatPr defaultColWidth="11.421875" defaultRowHeight="12.75"/>
  <cols>
    <col min="1" max="1" width="7.421875" style="0" customWidth="1"/>
    <col min="5" max="5" width="8.8515625" style="0" customWidth="1"/>
    <col min="6" max="6" width="14.00390625" style="0" customWidth="1"/>
    <col min="7" max="7" width="14.8515625" style="0" customWidth="1"/>
    <col min="8" max="8" width="13.8515625" style="0" customWidth="1"/>
    <col min="9" max="9" width="13.28125" style="0" customWidth="1"/>
    <col min="12" max="12" width="8.7109375" style="0" customWidth="1"/>
    <col min="13" max="13" width="9.421875" style="0" customWidth="1"/>
    <col min="15" max="15" width="14.28125" style="0" customWidth="1"/>
    <col min="16" max="16" width="13.7109375" style="0" customWidth="1"/>
  </cols>
  <sheetData>
    <row r="1" spans="2:16" ht="19.5" thickBot="1" thickTop="1">
      <c r="B1" s="558" t="s">
        <v>99</v>
      </c>
      <c r="C1" s="559"/>
      <c r="D1" s="559"/>
      <c r="E1" s="559"/>
      <c r="F1" s="559"/>
      <c r="G1" s="559"/>
      <c r="H1" s="559"/>
      <c r="I1" s="559"/>
      <c r="J1" s="560" t="s">
        <v>100</v>
      </c>
      <c r="K1" s="559"/>
      <c r="L1" s="559"/>
      <c r="M1" s="559"/>
      <c r="N1" s="559"/>
      <c r="O1" s="559"/>
      <c r="P1" s="561"/>
    </row>
    <row r="2" spans="10:16" ht="14.25" thickBot="1" thickTop="1">
      <c r="J2" s="43"/>
      <c r="K2" s="3"/>
      <c r="L2" s="3"/>
      <c r="M2" s="3"/>
      <c r="N2" s="3"/>
      <c r="O2" s="3"/>
      <c r="P2" s="3"/>
    </row>
    <row r="3" spans="1:16" ht="13.5" thickTop="1">
      <c r="A3" s="44"/>
      <c r="B3" s="562" t="s">
        <v>101</v>
      </c>
      <c r="C3" s="563"/>
      <c r="D3" s="563"/>
      <c r="E3" s="564"/>
      <c r="F3" s="565"/>
      <c r="G3" s="566"/>
      <c r="H3" s="566"/>
      <c r="I3" s="45"/>
      <c r="J3" s="46"/>
      <c r="K3" s="19"/>
      <c r="L3" s="19"/>
      <c r="M3" s="19"/>
      <c r="N3" s="19"/>
      <c r="O3" s="19"/>
      <c r="P3" s="47"/>
    </row>
    <row r="4" spans="2:16" ht="12.75">
      <c r="B4" s="15"/>
      <c r="C4" s="4"/>
      <c r="D4" s="4"/>
      <c r="E4" s="24"/>
      <c r="F4" s="567" t="s">
        <v>102</v>
      </c>
      <c r="G4" s="568"/>
      <c r="H4" s="569"/>
      <c r="I4" s="48" t="s">
        <v>50</v>
      </c>
      <c r="J4" s="49"/>
      <c r="K4" s="4"/>
      <c r="L4" s="4"/>
      <c r="M4" s="4"/>
      <c r="N4" s="5"/>
      <c r="O4" s="50" t="s">
        <v>51</v>
      </c>
      <c r="P4" s="51" t="s">
        <v>50</v>
      </c>
    </row>
    <row r="5" spans="2:16" ht="12.75">
      <c r="B5" s="15"/>
      <c r="C5" s="4"/>
      <c r="D5" s="4"/>
      <c r="E5" s="24"/>
      <c r="F5" s="52" t="s">
        <v>98</v>
      </c>
      <c r="G5" s="6" t="s">
        <v>103</v>
      </c>
      <c r="H5" s="53" t="s">
        <v>52</v>
      </c>
      <c r="I5" s="54" t="s">
        <v>52</v>
      </c>
      <c r="J5" s="49"/>
      <c r="K5" s="4"/>
      <c r="L5" s="4"/>
      <c r="M5" s="4"/>
      <c r="N5" s="5"/>
      <c r="O5" s="7"/>
      <c r="P5" s="21"/>
    </row>
    <row r="6" spans="2:16" ht="13.5" thickBot="1">
      <c r="B6" s="55"/>
      <c r="C6" s="56"/>
      <c r="D6" s="56"/>
      <c r="E6" s="57"/>
      <c r="F6" s="58"/>
      <c r="G6" s="8" t="s">
        <v>104</v>
      </c>
      <c r="H6" s="59"/>
      <c r="I6" s="60"/>
      <c r="J6" s="61"/>
      <c r="K6" s="56"/>
      <c r="L6" s="56"/>
      <c r="M6" s="56"/>
      <c r="N6" s="62"/>
      <c r="O6" s="63"/>
      <c r="P6" s="64"/>
    </row>
    <row r="7" spans="2:16" ht="12.75">
      <c r="B7" s="22" t="s">
        <v>53</v>
      </c>
      <c r="C7" s="25"/>
      <c r="D7" s="25"/>
      <c r="E7" s="65"/>
      <c r="F7" s="296"/>
      <c r="G7" s="297"/>
      <c r="H7" s="298">
        <f>IF(F7="","",F7-G7)</f>
      </c>
      <c r="I7" s="67"/>
      <c r="O7" s="9"/>
      <c r="P7" s="23"/>
    </row>
    <row r="8" spans="2:16" ht="15.75">
      <c r="B8" s="570" t="s">
        <v>105</v>
      </c>
      <c r="C8" s="571"/>
      <c r="D8" s="571"/>
      <c r="E8" s="572"/>
      <c r="F8" s="299"/>
      <c r="G8" s="300"/>
      <c r="H8" s="301"/>
      <c r="I8" s="68"/>
      <c r="J8" s="573" t="s">
        <v>83</v>
      </c>
      <c r="K8" s="571"/>
      <c r="L8" s="571"/>
      <c r="M8" s="571"/>
      <c r="N8" s="574"/>
      <c r="O8" s="7"/>
      <c r="P8" s="21"/>
    </row>
    <row r="9" spans="2:16" ht="12.75">
      <c r="B9" s="15" t="s">
        <v>106</v>
      </c>
      <c r="C9" s="4"/>
      <c r="D9" s="4"/>
      <c r="E9" s="24"/>
      <c r="F9" s="299"/>
      <c r="G9" s="300"/>
      <c r="H9" s="301"/>
      <c r="I9" s="68"/>
      <c r="J9" s="49" t="s">
        <v>107</v>
      </c>
      <c r="K9" s="4"/>
      <c r="L9" s="4"/>
      <c r="M9" s="4"/>
      <c r="N9" s="5"/>
      <c r="O9" s="303">
        <f>'Bal. après invent'!D5</f>
        <v>175000</v>
      </c>
      <c r="P9" s="69">
        <f>'Bal. av. invent.'!D5</f>
        <v>175000</v>
      </c>
    </row>
    <row r="10" spans="2:16" ht="12.75">
      <c r="B10" s="15" t="s">
        <v>54</v>
      </c>
      <c r="C10" s="4"/>
      <c r="D10" s="4"/>
      <c r="E10" s="24"/>
      <c r="F10" s="302"/>
      <c r="G10" s="303"/>
      <c r="H10" s="304"/>
      <c r="I10" s="71"/>
      <c r="J10" s="49" t="s">
        <v>55</v>
      </c>
      <c r="K10" s="4"/>
      <c r="L10" s="4"/>
      <c r="M10" s="4"/>
      <c r="N10" s="5"/>
      <c r="O10" s="303"/>
      <c r="P10" s="69"/>
    </row>
    <row r="11" spans="2:16" ht="12.75">
      <c r="B11" s="15" t="s">
        <v>108</v>
      </c>
      <c r="C11" s="4"/>
      <c r="D11" s="4"/>
      <c r="E11" s="24"/>
      <c r="F11" s="302"/>
      <c r="G11" s="303"/>
      <c r="H11" s="304"/>
      <c r="I11" s="71"/>
      <c r="J11" s="49" t="s">
        <v>109</v>
      </c>
      <c r="K11" s="4"/>
      <c r="L11" s="4"/>
      <c r="M11" s="4"/>
      <c r="N11" s="5"/>
      <c r="O11" s="303"/>
      <c r="P11" s="69"/>
    </row>
    <row r="12" spans="2:16" ht="12.75">
      <c r="B12" s="15" t="s">
        <v>56</v>
      </c>
      <c r="C12" s="4"/>
      <c r="D12" s="4"/>
      <c r="E12" s="24"/>
      <c r="F12" s="302">
        <f>'Bal. après invent'!C13+'Bal. après invent'!C14</f>
        <v>1500</v>
      </c>
      <c r="G12" s="303">
        <f>'Bal. après invent'!D25+'Bal. après invent'!D26</f>
        <v>887.5</v>
      </c>
      <c r="H12" s="304">
        <f>F12-G12</f>
        <v>612.5</v>
      </c>
      <c r="I12" s="71">
        <f>'Bal. av. invent.'!C12+'Bal. av. invent.'!C13-'Bal. av. invent.'!D25-'Bal. av. invent.'!D26</f>
        <v>987.5</v>
      </c>
      <c r="J12" s="49" t="s">
        <v>110</v>
      </c>
      <c r="K12" s="4"/>
      <c r="L12" s="4"/>
      <c r="M12" s="4"/>
      <c r="N12" s="5"/>
      <c r="O12" s="303"/>
      <c r="P12" s="69"/>
    </row>
    <row r="13" spans="2:16" ht="12.75">
      <c r="B13" s="15" t="s">
        <v>57</v>
      </c>
      <c r="C13" s="4"/>
      <c r="D13" s="4"/>
      <c r="E13" s="24"/>
      <c r="F13" s="302"/>
      <c r="G13" s="303"/>
      <c r="H13" s="304"/>
      <c r="I13" s="71"/>
      <c r="J13" s="49" t="s">
        <v>111</v>
      </c>
      <c r="K13" s="4"/>
      <c r="L13" s="4"/>
      <c r="M13" s="4"/>
      <c r="N13" s="5"/>
      <c r="O13" s="303"/>
      <c r="P13" s="69"/>
    </row>
    <row r="14" spans="2:16" ht="12.75">
      <c r="B14" s="15" t="s">
        <v>112</v>
      </c>
      <c r="C14" s="4"/>
      <c r="D14" s="4"/>
      <c r="E14" s="24"/>
      <c r="F14" s="302"/>
      <c r="G14" s="303"/>
      <c r="H14" s="304"/>
      <c r="I14" s="71"/>
      <c r="J14" s="49" t="s">
        <v>113</v>
      </c>
      <c r="K14" s="4"/>
      <c r="L14" s="4"/>
      <c r="M14" s="4"/>
      <c r="N14" s="5"/>
      <c r="O14" s="303">
        <f>'Bal. après invent'!D6</f>
        <v>8759</v>
      </c>
      <c r="P14" s="69">
        <f>'Bal. av. invent.'!D6-2959</f>
        <v>5800</v>
      </c>
    </row>
    <row r="15" spans="2:16" ht="12.75">
      <c r="B15" s="15" t="s">
        <v>114</v>
      </c>
      <c r="C15" s="4"/>
      <c r="D15" s="4"/>
      <c r="E15" s="24"/>
      <c r="F15" s="302"/>
      <c r="G15" s="303"/>
      <c r="H15" s="304"/>
      <c r="I15" s="71"/>
      <c r="J15" s="49" t="s">
        <v>115</v>
      </c>
      <c r="K15" s="4"/>
      <c r="L15" s="4"/>
      <c r="M15" s="4"/>
      <c r="N15" s="5"/>
      <c r="O15" s="303">
        <f>'Bal. après invent'!D7</f>
        <v>78160</v>
      </c>
      <c r="P15" s="69">
        <f>'Bal. av. invent.'!D7-20000</f>
        <v>58160</v>
      </c>
    </row>
    <row r="16" spans="2:16" ht="12.75">
      <c r="B16" s="15" t="s">
        <v>58</v>
      </c>
      <c r="C16" s="4"/>
      <c r="D16" s="4"/>
      <c r="E16" s="24"/>
      <c r="F16" s="302"/>
      <c r="G16" s="303"/>
      <c r="H16" s="304"/>
      <c r="I16" s="71"/>
      <c r="J16" s="49" t="s">
        <v>116</v>
      </c>
      <c r="K16" s="4"/>
      <c r="L16" s="4"/>
      <c r="M16" s="4"/>
      <c r="N16" s="5"/>
      <c r="O16" s="303"/>
      <c r="P16" s="69"/>
    </row>
    <row r="17" spans="2:16" ht="12.75">
      <c r="B17" s="15" t="s">
        <v>117</v>
      </c>
      <c r="C17" s="4"/>
      <c r="D17" s="4"/>
      <c r="E17" s="24"/>
      <c r="F17" s="302"/>
      <c r="G17" s="303"/>
      <c r="H17" s="304"/>
      <c r="I17" s="71"/>
      <c r="J17" s="49" t="s">
        <v>112</v>
      </c>
      <c r="K17" s="4"/>
      <c r="L17" s="4"/>
      <c r="M17" s="4"/>
      <c r="N17" s="5"/>
      <c r="O17" s="303"/>
      <c r="P17" s="69"/>
    </row>
    <row r="18" spans="2:16" ht="12.75">
      <c r="B18" s="15" t="s">
        <v>59</v>
      </c>
      <c r="C18" s="4"/>
      <c r="D18" s="4"/>
      <c r="E18" s="24"/>
      <c r="F18" s="302"/>
      <c r="G18" s="303"/>
      <c r="H18" s="304"/>
      <c r="I18" s="71"/>
      <c r="J18" s="49" t="s">
        <v>81</v>
      </c>
      <c r="K18" s="4"/>
      <c r="L18" s="4"/>
      <c r="M18" s="4"/>
      <c r="N18" s="5"/>
      <c r="O18" s="303">
        <f>'Bal. après invent'!D8</f>
        <v>2111</v>
      </c>
      <c r="P18" s="69">
        <v>1411</v>
      </c>
    </row>
    <row r="19" spans="2:16" ht="12.75">
      <c r="B19" s="15" t="s">
        <v>60</v>
      </c>
      <c r="C19" s="4"/>
      <c r="D19" s="4"/>
      <c r="E19" s="24"/>
      <c r="F19" s="302">
        <f>'Bal. après invent'!C15+'Bal. après invent'!C16</f>
        <v>560000</v>
      </c>
      <c r="G19" s="303">
        <f>'Bal. après invent'!D27+'Bal. après invent'!D28</f>
        <v>183000</v>
      </c>
      <c r="H19" s="304">
        <f>F19-G19</f>
        <v>377000</v>
      </c>
      <c r="I19" s="71">
        <f>'Bal. av. invent.'!C14+'Bal. av. invent.'!C15-'Bal. av. invent.'!D27-'Bal. av. invent.'!D28</f>
        <v>410000</v>
      </c>
      <c r="J19" s="72" t="s">
        <v>80</v>
      </c>
      <c r="K19" s="4"/>
      <c r="L19" s="4"/>
      <c r="M19" s="4"/>
      <c r="N19" s="5"/>
      <c r="O19" s="283">
        <f>ROUND('Cpte Résultat PCG (de base)'!B36,2)</f>
        <v>65806.98</v>
      </c>
      <c r="P19" s="422">
        <v>59183.77</v>
      </c>
    </row>
    <row r="20" spans="2:16" ht="12.75">
      <c r="B20" s="15" t="s">
        <v>61</v>
      </c>
      <c r="C20" s="4"/>
      <c r="D20" s="4"/>
      <c r="E20" s="24"/>
      <c r="F20" s="302">
        <f>'Bal. après invent'!C17+'Bal. après invent'!C18+'Bal. après invent'!C19</f>
        <v>49200</v>
      </c>
      <c r="G20" s="303">
        <f>ROUND('Bal. après invent'!D29+'Bal. après invent'!D30+'Bal. après invent'!D31+'Bal. après invent'!D36,2)</f>
        <v>14514.58</v>
      </c>
      <c r="H20" s="304">
        <f>F20-G20</f>
        <v>34685.42</v>
      </c>
      <c r="I20" s="71">
        <f>'Bal. av. invent.'!C16+'Bal. av. invent.'!C17+'Bal. av. invent.'!C18+'Bal. av. invent.'!C19-'Bal. av. invent.'!D29-'Bal. av. invent.'!D30-'Bal. av. invent.'!D31-'Bal. av. invent.'!D35</f>
        <v>42843.75</v>
      </c>
      <c r="J20" s="49" t="s">
        <v>62</v>
      </c>
      <c r="K20" s="4"/>
      <c r="L20" s="4"/>
      <c r="M20" s="4"/>
      <c r="N20" s="5"/>
      <c r="O20" s="303"/>
      <c r="P20" s="69"/>
    </row>
    <row r="21" spans="2:16" ht="12.75">
      <c r="B21" s="15" t="s">
        <v>112</v>
      </c>
      <c r="C21" s="4"/>
      <c r="D21" s="4"/>
      <c r="E21" s="24"/>
      <c r="F21" s="302">
        <f>'Bal. après invent'!C20+'Bal. après invent'!C21+'Bal. après invent'!C22+'Bal. après invent'!C23</f>
        <v>22840</v>
      </c>
      <c r="G21" s="303">
        <f>ROUND('Bal. après invent'!D32+'Bal. après invent'!D33+'Bal. après invent'!D34+'Bal. après invent'!D35,2)</f>
        <v>7297.22</v>
      </c>
      <c r="H21" s="304">
        <f>F21-G21</f>
        <v>15542.779999999999</v>
      </c>
      <c r="I21" s="71">
        <f>'Bal. av. invent.'!C20+'Bal. av. invent.'!C21+'Bal. av. invent.'!C22+'Bal. av. invent.'!C23-'Bal. av. invent.'!D32-'Bal. av. invent.'!D33-'Bal. av. invent.'!D34</f>
        <v>18402.777777777777</v>
      </c>
      <c r="J21" s="49" t="s">
        <v>63</v>
      </c>
      <c r="K21" s="4"/>
      <c r="L21" s="4"/>
      <c r="M21" s="4"/>
      <c r="N21" s="5"/>
      <c r="O21" s="306">
        <f>'Bal. après invent'!D9</f>
        <v>7893.35</v>
      </c>
      <c r="P21" s="73">
        <f>'Bal. av. invent.'!D9</f>
        <v>6272.311111111112</v>
      </c>
    </row>
    <row r="22" spans="2:16" ht="13.5" thickBot="1">
      <c r="B22" s="15" t="s">
        <v>118</v>
      </c>
      <c r="C22" s="4"/>
      <c r="D22" s="4"/>
      <c r="E22" s="24"/>
      <c r="F22" s="302"/>
      <c r="G22" s="303"/>
      <c r="H22" s="304"/>
      <c r="I22" s="71"/>
      <c r="J22" s="49"/>
      <c r="K22" s="4"/>
      <c r="L22" s="4"/>
      <c r="M22" s="4"/>
      <c r="N22" s="5"/>
      <c r="O22" s="306"/>
      <c r="P22" s="73"/>
    </row>
    <row r="23" spans="2:16" ht="14.25" thickBot="1" thickTop="1">
      <c r="B23" s="15" t="s">
        <v>58</v>
      </c>
      <c r="C23" s="4"/>
      <c r="D23" s="4"/>
      <c r="E23" s="24"/>
      <c r="F23" s="302"/>
      <c r="G23" s="303"/>
      <c r="H23" s="304"/>
      <c r="I23" s="71"/>
      <c r="J23" s="575" t="s">
        <v>64</v>
      </c>
      <c r="K23" s="576"/>
      <c r="L23" s="576"/>
      <c r="M23" s="576"/>
      <c r="N23" s="577"/>
      <c r="O23" s="308">
        <f>SUM(O9:O22)</f>
        <v>337730.32999999996</v>
      </c>
      <c r="P23" s="74">
        <f>SUM(P9:P22)</f>
        <v>305827.08111111115</v>
      </c>
    </row>
    <row r="24" spans="2:16" ht="13.5" thickTop="1">
      <c r="B24" s="15" t="s">
        <v>119</v>
      </c>
      <c r="C24" s="4"/>
      <c r="D24" s="4"/>
      <c r="E24" s="24"/>
      <c r="F24" s="302"/>
      <c r="G24" s="303"/>
      <c r="H24" s="304"/>
      <c r="I24" s="71"/>
      <c r="O24" s="281"/>
      <c r="P24" s="75"/>
    </row>
    <row r="25" spans="2:16" ht="12.75">
      <c r="B25" s="15" t="s">
        <v>120</v>
      </c>
      <c r="C25" s="4"/>
      <c r="D25" s="4"/>
      <c r="E25" s="24"/>
      <c r="F25" s="302"/>
      <c r="G25" s="303"/>
      <c r="H25" s="304"/>
      <c r="I25" s="71"/>
      <c r="O25" s="311"/>
      <c r="P25" s="76"/>
    </row>
    <row r="26" spans="2:16" ht="15.75">
      <c r="B26" s="15" t="s">
        <v>65</v>
      </c>
      <c r="C26" s="4"/>
      <c r="D26" s="4"/>
      <c r="E26" s="24"/>
      <c r="F26" s="302"/>
      <c r="G26" s="303"/>
      <c r="H26" s="304"/>
      <c r="I26" s="71"/>
      <c r="J26" s="77" t="s">
        <v>121</v>
      </c>
      <c r="K26" s="4"/>
      <c r="L26" s="4"/>
      <c r="M26" s="4"/>
      <c r="N26" s="5"/>
      <c r="O26" s="303"/>
      <c r="P26" s="69"/>
    </row>
    <row r="27" spans="2:16" ht="12.75">
      <c r="B27" s="15" t="s">
        <v>122</v>
      </c>
      <c r="C27" s="4"/>
      <c r="D27" s="4"/>
      <c r="E27" s="24"/>
      <c r="F27" s="302"/>
      <c r="G27" s="303"/>
      <c r="H27" s="304"/>
      <c r="I27" s="71"/>
      <c r="J27" s="49" t="s">
        <v>82</v>
      </c>
      <c r="K27" s="4"/>
      <c r="L27" s="4"/>
      <c r="M27" s="4"/>
      <c r="N27" s="5"/>
      <c r="O27" s="303">
        <f>'Bal. après invent'!D10</f>
        <v>11250</v>
      </c>
      <c r="P27" s="69">
        <f>'Bal. av. invent.'!D10</f>
        <v>3750</v>
      </c>
    </row>
    <row r="28" spans="2:16" ht="13.5" thickBot="1">
      <c r="B28" s="15" t="s">
        <v>66</v>
      </c>
      <c r="C28" s="4"/>
      <c r="D28" s="4"/>
      <c r="E28" s="24"/>
      <c r="F28" s="302"/>
      <c r="G28" s="303"/>
      <c r="H28" s="304"/>
      <c r="I28" s="71"/>
      <c r="J28" s="49" t="s">
        <v>67</v>
      </c>
      <c r="K28" s="4"/>
      <c r="L28" s="4"/>
      <c r="M28" s="4"/>
      <c r="N28" s="5"/>
      <c r="O28" s="303"/>
      <c r="P28" s="69"/>
    </row>
    <row r="29" spans="2:16" ht="14.25" thickBot="1" thickTop="1">
      <c r="B29" s="15" t="s">
        <v>68</v>
      </c>
      <c r="C29" s="4"/>
      <c r="D29" s="4"/>
      <c r="E29" s="24"/>
      <c r="F29" s="302">
        <f>'Bal. après invent'!C24</f>
        <v>15000</v>
      </c>
      <c r="G29" s="303"/>
      <c r="H29" s="304">
        <f>F29-G29</f>
        <v>15000</v>
      </c>
      <c r="I29" s="71">
        <f>'Bal. av. invent.'!C24</f>
        <v>15000</v>
      </c>
      <c r="J29" s="575" t="s">
        <v>69</v>
      </c>
      <c r="K29" s="576"/>
      <c r="L29" s="576"/>
      <c r="M29" s="576"/>
      <c r="N29" s="577"/>
      <c r="O29" s="308">
        <f>SUM(O27:O28)</f>
        <v>11250</v>
      </c>
      <c r="P29" s="74">
        <f>SUM(P27:P28)</f>
        <v>3750</v>
      </c>
    </row>
    <row r="30" spans="2:16" ht="14.25" thickBot="1" thickTop="1">
      <c r="B30" s="15" t="s">
        <v>112</v>
      </c>
      <c r="C30" s="4"/>
      <c r="D30" s="4"/>
      <c r="E30" s="24"/>
      <c r="F30" s="305"/>
      <c r="G30" s="306"/>
      <c r="H30" s="304"/>
      <c r="I30" s="78"/>
      <c r="O30" s="303"/>
      <c r="P30" s="69"/>
    </row>
    <row r="31" spans="2:16" ht="14.25" thickBot="1" thickTop="1">
      <c r="B31" s="578" t="s">
        <v>64</v>
      </c>
      <c r="C31" s="576"/>
      <c r="D31" s="576"/>
      <c r="E31" s="579"/>
      <c r="F31" s="307">
        <f>SUM(F9:F30)</f>
        <v>648540</v>
      </c>
      <c r="G31" s="308">
        <f>SUM(G9:G30)</f>
        <v>205699.3</v>
      </c>
      <c r="H31" s="309">
        <f>SUM(H9:H30)</f>
        <v>442840.69999999995</v>
      </c>
      <c r="I31" s="79">
        <f>SUM(I9:I30)</f>
        <v>487234.02777777775</v>
      </c>
      <c r="O31" s="303"/>
      <c r="P31" s="69"/>
    </row>
    <row r="32" spans="2:16" ht="16.5" thickTop="1">
      <c r="B32" s="570" t="s">
        <v>123</v>
      </c>
      <c r="C32" s="571"/>
      <c r="D32" s="571"/>
      <c r="E32" s="572"/>
      <c r="F32" s="310"/>
      <c r="G32" s="311"/>
      <c r="H32" s="312"/>
      <c r="I32" s="81"/>
      <c r="J32" s="573" t="s">
        <v>124</v>
      </c>
      <c r="K32" s="571"/>
      <c r="L32" s="571"/>
      <c r="M32" s="571"/>
      <c r="N32" s="574"/>
      <c r="O32" s="303"/>
      <c r="P32" s="69"/>
    </row>
    <row r="33" spans="2:16" ht="12.75">
      <c r="B33" s="580" t="s">
        <v>125</v>
      </c>
      <c r="C33" s="581"/>
      <c r="D33" s="581"/>
      <c r="E33" s="24"/>
      <c r="F33" s="302"/>
      <c r="G33" s="303"/>
      <c r="H33" s="304"/>
      <c r="I33" s="71"/>
      <c r="J33" s="582"/>
      <c r="K33" s="581"/>
      <c r="L33" s="581"/>
      <c r="M33" s="4"/>
      <c r="N33" s="5"/>
      <c r="O33" s="303"/>
      <c r="P33" s="69"/>
    </row>
    <row r="34" spans="2:16" ht="12.75">
      <c r="B34" s="82" t="s">
        <v>70</v>
      </c>
      <c r="C34" s="4"/>
      <c r="D34" s="4"/>
      <c r="E34" s="24"/>
      <c r="F34" s="302">
        <f>'Bal. après invent'!C37+'Bal. après invent'!C38</f>
        <v>25898.48</v>
      </c>
      <c r="G34" s="303"/>
      <c r="H34" s="304">
        <f>F34-G34</f>
        <v>25898.48</v>
      </c>
      <c r="I34" s="71">
        <f>'Bal. av. invent.'!C36+'Bal. av. invent.'!C37-'Bal. av. invent.'!D39</f>
        <v>24581</v>
      </c>
      <c r="J34" s="49" t="s">
        <v>126</v>
      </c>
      <c r="K34" s="4"/>
      <c r="L34" s="4"/>
      <c r="M34" s="4"/>
      <c r="N34" s="5"/>
      <c r="O34" s="303"/>
      <c r="P34" s="69"/>
    </row>
    <row r="35" spans="2:16" ht="12.75">
      <c r="B35" s="82" t="s">
        <v>127</v>
      </c>
      <c r="C35" s="4"/>
      <c r="D35" s="4"/>
      <c r="E35" s="24"/>
      <c r="F35" s="302"/>
      <c r="G35" s="303"/>
      <c r="H35" s="304"/>
      <c r="I35" s="71"/>
      <c r="J35" s="49" t="s">
        <v>128</v>
      </c>
      <c r="K35" s="4"/>
      <c r="L35" s="4"/>
      <c r="M35" s="4"/>
      <c r="N35" s="5"/>
      <c r="O35" s="303"/>
      <c r="P35" s="69"/>
    </row>
    <row r="36" spans="2:16" ht="12.75">
      <c r="B36" s="82" t="s">
        <v>71</v>
      </c>
      <c r="C36" s="4"/>
      <c r="D36" s="4"/>
      <c r="E36" s="24"/>
      <c r="F36" s="302">
        <f>'Bal. après invent'!C39</f>
        <v>24327.54</v>
      </c>
      <c r="G36" s="303">
        <f>'Bal. après invent'!D40</f>
        <v>1200</v>
      </c>
      <c r="H36" s="304">
        <f>F36-G36</f>
        <v>23127.54</v>
      </c>
      <c r="I36" s="71">
        <f>'Bal. av. invent.'!C38</f>
        <v>25655.74</v>
      </c>
      <c r="J36" s="49" t="s">
        <v>129</v>
      </c>
      <c r="K36" s="4"/>
      <c r="L36" s="4"/>
      <c r="M36" s="4"/>
      <c r="N36" s="5"/>
      <c r="O36" s="303">
        <f>'Bal. après invent'!D11+'Bal. après invent'!D12</f>
        <v>156320</v>
      </c>
      <c r="P36" s="69">
        <v>198915.75</v>
      </c>
    </row>
    <row r="37" spans="2:16" ht="12.75">
      <c r="B37" s="82" t="s">
        <v>72</v>
      </c>
      <c r="C37" s="4"/>
      <c r="D37" s="4"/>
      <c r="E37" s="24"/>
      <c r="F37" s="302"/>
      <c r="G37" s="303"/>
      <c r="H37" s="304"/>
      <c r="I37" s="71"/>
      <c r="J37" s="49" t="s">
        <v>130</v>
      </c>
      <c r="K37" s="4"/>
      <c r="L37" s="4"/>
      <c r="M37" s="4"/>
      <c r="N37" s="5"/>
      <c r="O37" s="303"/>
      <c r="P37" s="69"/>
    </row>
    <row r="38" spans="2:16" ht="12.75">
      <c r="B38" s="15" t="s">
        <v>73</v>
      </c>
      <c r="C38" s="4"/>
      <c r="D38" s="4"/>
      <c r="E38" s="24"/>
      <c r="F38" s="302"/>
      <c r="G38" s="303"/>
      <c r="H38" s="304"/>
      <c r="I38" s="71"/>
      <c r="J38" s="49" t="s">
        <v>131</v>
      </c>
      <c r="K38" s="4"/>
      <c r="L38" s="4"/>
      <c r="M38" s="4"/>
      <c r="N38" s="5"/>
      <c r="O38" s="303"/>
      <c r="P38" s="69"/>
    </row>
    <row r="39" spans="2:16" ht="12.75">
      <c r="B39" s="580" t="s">
        <v>132</v>
      </c>
      <c r="C39" s="581"/>
      <c r="D39" s="581"/>
      <c r="E39" s="24"/>
      <c r="F39" s="302"/>
      <c r="G39" s="303"/>
      <c r="H39" s="304"/>
      <c r="I39" s="71"/>
      <c r="J39" s="582"/>
      <c r="K39" s="581"/>
      <c r="L39" s="581"/>
      <c r="M39" s="4"/>
      <c r="N39" s="5"/>
      <c r="O39" s="303"/>
      <c r="P39" s="69"/>
    </row>
    <row r="40" spans="2:16" ht="12.75">
      <c r="B40" s="15" t="s">
        <v>133</v>
      </c>
      <c r="C40" s="4"/>
      <c r="D40" s="4"/>
      <c r="E40" s="24"/>
      <c r="F40" s="302">
        <f>'Bal. après invent'!C44+'Bal. après invent'!C45+'Bal. après invent'!C46</f>
        <v>124966.6</v>
      </c>
      <c r="G40" s="303">
        <f>'Bal. après invent'!D56</f>
        <v>6093</v>
      </c>
      <c r="H40" s="304">
        <f>ROUND(F40-G40,2)</f>
        <v>118873.6</v>
      </c>
      <c r="I40" s="71">
        <v>92215.65</v>
      </c>
      <c r="J40" s="49" t="s">
        <v>134</v>
      </c>
      <c r="K40" s="4"/>
      <c r="L40" s="4"/>
      <c r="M40" s="4"/>
      <c r="N40" s="5"/>
      <c r="O40" s="303">
        <f>'Bal. après invent'!D41+'Bal. après invent'!D42+'Bal. après invent'!D43</f>
        <v>90712.1</v>
      </c>
      <c r="P40" s="69">
        <v>97694.75</v>
      </c>
    </row>
    <row r="41" spans="2:16" ht="12.75">
      <c r="B41" s="15" t="s">
        <v>112</v>
      </c>
      <c r="C41" s="4"/>
      <c r="D41" s="4"/>
      <c r="E41" s="24"/>
      <c r="F41" s="302">
        <f>'Bal. après invent'!C50+'Bal. après invent'!C52</f>
        <v>1226.32</v>
      </c>
      <c r="G41" s="303"/>
      <c r="H41" s="304">
        <f>ROUND(F41-G41,2)</f>
        <v>1226.32</v>
      </c>
      <c r="I41" s="71">
        <v>527.94</v>
      </c>
      <c r="J41" s="49" t="s">
        <v>135</v>
      </c>
      <c r="K41" s="4"/>
      <c r="L41" s="4"/>
      <c r="M41" s="4"/>
      <c r="N41" s="5"/>
      <c r="O41" s="303">
        <f>'Bal. après invent'!D47+'Bal. après invent'!D48+'Bal. après invent'!D51+'Bal. après invent'!D53</f>
        <v>32787.35</v>
      </c>
      <c r="P41" s="69">
        <v>26554.32</v>
      </c>
    </row>
    <row r="42" spans="2:16" ht="12.75">
      <c r="B42" s="15" t="s">
        <v>136</v>
      </c>
      <c r="C42" s="4"/>
      <c r="D42" s="4"/>
      <c r="E42" s="24"/>
      <c r="F42" s="302"/>
      <c r="G42" s="303"/>
      <c r="H42" s="304"/>
      <c r="I42" s="71"/>
      <c r="J42" s="49" t="s">
        <v>137</v>
      </c>
      <c r="K42" s="4"/>
      <c r="L42" s="4"/>
      <c r="M42" s="4"/>
      <c r="N42" s="5"/>
      <c r="O42" s="303"/>
      <c r="P42" s="69"/>
    </row>
    <row r="43" spans="2:16" ht="12.75">
      <c r="B43" s="15" t="s">
        <v>138</v>
      </c>
      <c r="C43" s="4"/>
      <c r="D43" s="4"/>
      <c r="E43" s="24"/>
      <c r="F43" s="302"/>
      <c r="G43" s="303"/>
      <c r="H43" s="304"/>
      <c r="I43" s="71"/>
      <c r="J43" s="582" t="s">
        <v>139</v>
      </c>
      <c r="K43" s="581"/>
      <c r="L43" s="581"/>
      <c r="M43" s="4"/>
      <c r="N43" s="5"/>
      <c r="O43" s="303">
        <f>'Bal. après invent'!D49</f>
        <v>3420</v>
      </c>
      <c r="P43" s="69">
        <v>2750</v>
      </c>
    </row>
    <row r="44" spans="2:16" ht="12.75">
      <c r="B44" s="15" t="s">
        <v>140</v>
      </c>
      <c r="C44" s="4"/>
      <c r="D44" s="4"/>
      <c r="E44" s="24"/>
      <c r="F44" s="302"/>
      <c r="G44" s="303"/>
      <c r="H44" s="304"/>
      <c r="I44" s="71"/>
      <c r="J44" s="49"/>
      <c r="K44" s="4"/>
      <c r="L44" s="4"/>
      <c r="M44" s="4"/>
      <c r="N44" s="5"/>
      <c r="O44" s="303"/>
      <c r="P44" s="69"/>
    </row>
    <row r="45" spans="2:16" ht="12.75">
      <c r="B45" s="15" t="s">
        <v>141</v>
      </c>
      <c r="C45" s="4"/>
      <c r="D45" s="4"/>
      <c r="E45" s="24"/>
      <c r="F45" s="302">
        <f>'Bal. après invent'!C57</f>
        <v>3750</v>
      </c>
      <c r="G45" s="303"/>
      <c r="H45" s="304">
        <f>F45-G45</f>
        <v>3750</v>
      </c>
      <c r="I45" s="71">
        <v>1250</v>
      </c>
      <c r="J45" s="582" t="s">
        <v>142</v>
      </c>
      <c r="K45" s="581"/>
      <c r="L45" s="581"/>
      <c r="M45" s="4"/>
      <c r="N45" s="5"/>
      <c r="O45" s="303"/>
      <c r="P45" s="69"/>
    </row>
    <row r="46" spans="2:16" ht="12.75">
      <c r="B46" s="15" t="s">
        <v>143</v>
      </c>
      <c r="C46" s="4"/>
      <c r="D46" s="4"/>
      <c r="E46" s="24"/>
      <c r="F46" s="302"/>
      <c r="G46" s="303"/>
      <c r="H46" s="304"/>
      <c r="I46" s="71"/>
      <c r="J46" s="582" t="s">
        <v>144</v>
      </c>
      <c r="K46" s="581"/>
      <c r="L46" s="581"/>
      <c r="M46" s="4"/>
      <c r="N46" s="5"/>
      <c r="O46" s="303">
        <f>'Bal. après invent'!D55</f>
        <v>400</v>
      </c>
      <c r="P46" s="69">
        <v>650</v>
      </c>
    </row>
    <row r="47" spans="2:16" ht="12.75">
      <c r="B47" s="15" t="s">
        <v>74</v>
      </c>
      <c r="C47" s="4"/>
      <c r="D47" s="4"/>
      <c r="E47" s="24"/>
      <c r="F47" s="302">
        <f>'Bal. après invent'!C58+'Bal. après invent'!C59</f>
        <v>13815.78</v>
      </c>
      <c r="G47" s="303"/>
      <c r="H47" s="304">
        <f>F47-G47</f>
        <v>13815.78</v>
      </c>
      <c r="I47" s="71">
        <v>3212.54</v>
      </c>
      <c r="J47" s="582"/>
      <c r="K47" s="581"/>
      <c r="L47" s="581"/>
      <c r="M47" s="4"/>
      <c r="N47" s="5"/>
      <c r="O47" s="303"/>
      <c r="P47" s="69"/>
    </row>
    <row r="48" spans="2:16" ht="13.5" thickBot="1">
      <c r="B48" s="15" t="s">
        <v>75</v>
      </c>
      <c r="C48" s="4"/>
      <c r="D48" s="4"/>
      <c r="E48" s="24"/>
      <c r="F48" s="302">
        <f>'Bal. après invent'!C54</f>
        <v>3087.3599999999997</v>
      </c>
      <c r="G48" s="303"/>
      <c r="H48" s="304">
        <f>F48-G48</f>
        <v>3087.3599999999997</v>
      </c>
      <c r="I48" s="71">
        <v>1465</v>
      </c>
      <c r="J48" s="582"/>
      <c r="K48" s="581"/>
      <c r="L48" s="581"/>
      <c r="M48" s="4"/>
      <c r="N48" s="5"/>
      <c r="O48" s="303"/>
      <c r="P48" s="69"/>
    </row>
    <row r="49" spans="2:16" ht="14.25" thickBot="1" thickTop="1">
      <c r="B49" s="578" t="s">
        <v>69</v>
      </c>
      <c r="C49" s="576"/>
      <c r="D49" s="576"/>
      <c r="E49" s="579"/>
      <c r="F49" s="307">
        <f>SUM(F33:F48)</f>
        <v>197072.08</v>
      </c>
      <c r="G49" s="308">
        <f>SUM(G34:G48)</f>
        <v>7293</v>
      </c>
      <c r="H49" s="309">
        <f>ROUND(SUM(H34:H48),2)</f>
        <v>189779.08</v>
      </c>
      <c r="I49" s="79">
        <f>SUM(I33:I48)</f>
        <v>148907.87000000002</v>
      </c>
      <c r="J49" s="575" t="s">
        <v>76</v>
      </c>
      <c r="K49" s="576"/>
      <c r="L49" s="576"/>
      <c r="M49" s="576"/>
      <c r="N49" s="577"/>
      <c r="O49" s="308">
        <f>SUM(O34:O48)</f>
        <v>283639.45</v>
      </c>
      <c r="P49" s="74">
        <f>SUM(P34:P48)</f>
        <v>326564.82</v>
      </c>
    </row>
    <row r="50" spans="2:16" ht="13.5" thickTop="1">
      <c r="B50" s="15" t="s">
        <v>145</v>
      </c>
      <c r="C50" s="4"/>
      <c r="D50" s="4"/>
      <c r="E50" s="24"/>
      <c r="F50" s="310"/>
      <c r="G50" s="311"/>
      <c r="H50" s="304"/>
      <c r="I50" s="81"/>
      <c r="O50" s="303"/>
      <c r="P50" s="69"/>
    </row>
    <row r="51" spans="2:16" ht="12.75">
      <c r="B51" s="15" t="s">
        <v>146</v>
      </c>
      <c r="C51" s="4"/>
      <c r="D51" s="4"/>
      <c r="E51" s="24"/>
      <c r="F51" s="302"/>
      <c r="G51" s="303"/>
      <c r="H51" s="304"/>
      <c r="I51" s="71"/>
      <c r="J51" s="49"/>
      <c r="K51" s="4"/>
      <c r="L51" s="4"/>
      <c r="M51" s="4"/>
      <c r="N51" s="5"/>
      <c r="O51" s="303"/>
      <c r="P51" s="69"/>
    </row>
    <row r="52" spans="2:16" ht="13.5" thickBot="1">
      <c r="B52" s="83" t="s">
        <v>147</v>
      </c>
      <c r="C52" s="10"/>
      <c r="D52" s="10"/>
      <c r="E52" s="84"/>
      <c r="F52" s="313"/>
      <c r="G52" s="287"/>
      <c r="H52" s="314"/>
      <c r="I52" s="85"/>
      <c r="J52" s="86" t="s">
        <v>148</v>
      </c>
      <c r="K52" s="11"/>
      <c r="L52" s="11"/>
      <c r="M52" s="11"/>
      <c r="N52" s="12"/>
      <c r="O52" s="306"/>
      <c r="P52" s="73"/>
    </row>
    <row r="53" spans="2:17" ht="17.25" thickBot="1" thickTop="1">
      <c r="B53" s="583" t="s">
        <v>77</v>
      </c>
      <c r="C53" s="584"/>
      <c r="D53" s="584"/>
      <c r="E53" s="585"/>
      <c r="F53" s="307">
        <f>F31+F49+F50+F51+F52</f>
        <v>845612.08</v>
      </c>
      <c r="G53" s="308">
        <f>G31+G49+G50+G51+G52</f>
        <v>212992.3</v>
      </c>
      <c r="H53" s="309">
        <f>H31+H49+H50+H51+H52</f>
        <v>632619.7799999999</v>
      </c>
      <c r="I53" s="87">
        <f>I31+I49+I50+I51+I52</f>
        <v>636141.8977777777</v>
      </c>
      <c r="J53" s="88" t="s">
        <v>78</v>
      </c>
      <c r="K53" s="89"/>
      <c r="L53" s="89"/>
      <c r="M53" s="89"/>
      <c r="N53" s="90"/>
      <c r="O53" s="308">
        <f>O23+O29+O49+O52</f>
        <v>632619.78</v>
      </c>
      <c r="P53" s="74">
        <f>P49+P29+P23</f>
        <v>636141.9011111112</v>
      </c>
      <c r="Q53" s="2"/>
    </row>
    <row r="54" spans="2:15" ht="15.75" thickTop="1">
      <c r="B54" s="91"/>
      <c r="C54" s="91"/>
      <c r="D54" s="91"/>
      <c r="E54" s="91"/>
      <c r="J54" t="s">
        <v>149</v>
      </c>
      <c r="O54" s="2"/>
    </row>
    <row r="55" spans="2:16" ht="12.75">
      <c r="B55" t="s">
        <v>79</v>
      </c>
      <c r="C55" s="13"/>
      <c r="D55" s="13"/>
      <c r="E55" s="13"/>
      <c r="F55" s="13"/>
      <c r="G55" s="13"/>
      <c r="H55" s="13"/>
      <c r="I55" s="315"/>
      <c r="J55" t="s">
        <v>150</v>
      </c>
      <c r="K55" s="13"/>
      <c r="L55" s="13"/>
      <c r="M55" s="13"/>
      <c r="N55" s="13"/>
      <c r="O55" s="315"/>
      <c r="P55" s="13"/>
    </row>
    <row r="56" spans="2:16" ht="12.75">
      <c r="B56" t="s">
        <v>151</v>
      </c>
      <c r="C56" s="13"/>
      <c r="D56" s="13"/>
      <c r="E56" s="13"/>
      <c r="F56" s="13"/>
      <c r="G56" s="13"/>
      <c r="H56" s="13"/>
      <c r="I56" s="13"/>
      <c r="J56" t="s">
        <v>152</v>
      </c>
      <c r="K56" s="13"/>
      <c r="L56" s="13"/>
      <c r="M56" s="13"/>
      <c r="N56" s="13"/>
      <c r="O56" s="315"/>
      <c r="P56" s="13"/>
    </row>
    <row r="57" spans="2:16" ht="12.75">
      <c r="B57" t="s">
        <v>153</v>
      </c>
      <c r="C57" s="13"/>
      <c r="D57" s="13"/>
      <c r="E57" s="13"/>
      <c r="F57" s="13"/>
      <c r="G57" s="13"/>
      <c r="H57" s="13"/>
      <c r="I57" s="13"/>
      <c r="J57" t="s">
        <v>154</v>
      </c>
      <c r="K57" s="13"/>
      <c r="L57" s="13"/>
      <c r="M57" s="13"/>
      <c r="N57" s="13"/>
      <c r="O57" s="13"/>
      <c r="P57" s="13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t="s">
        <v>155</v>
      </c>
      <c r="K58" s="13"/>
      <c r="L58" s="13"/>
      <c r="M58" s="13"/>
      <c r="N58" s="13"/>
      <c r="O58" s="315"/>
      <c r="P58" s="13"/>
    </row>
    <row r="59" spans="3:16" ht="12.75"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315"/>
      <c r="P59" s="13"/>
    </row>
  </sheetData>
  <mergeCells count="24">
    <mergeCell ref="J48:L48"/>
    <mergeCell ref="B49:E49"/>
    <mergeCell ref="J49:N49"/>
    <mergeCell ref="B53:E53"/>
    <mergeCell ref="J43:L43"/>
    <mergeCell ref="J45:L45"/>
    <mergeCell ref="J46:L46"/>
    <mergeCell ref="J47:L47"/>
    <mergeCell ref="B33:D33"/>
    <mergeCell ref="J33:L33"/>
    <mergeCell ref="B39:D39"/>
    <mergeCell ref="J39:L39"/>
    <mergeCell ref="J29:N29"/>
    <mergeCell ref="B31:E31"/>
    <mergeCell ref="B32:E32"/>
    <mergeCell ref="J32:N32"/>
    <mergeCell ref="F4:H4"/>
    <mergeCell ref="B8:E8"/>
    <mergeCell ref="J8:N8"/>
    <mergeCell ref="J23:N23"/>
    <mergeCell ref="B1:I1"/>
    <mergeCell ref="J1:P1"/>
    <mergeCell ref="B3:E3"/>
    <mergeCell ref="F3:H3"/>
  </mergeCells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71" r:id="rId1"/>
  <headerFooter alignWithMargins="0">
    <oddFooter>&amp;R&amp;"Arial,Italique"&amp;8 8 -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Jean-Louis VIVENS</cp:lastModifiedBy>
  <cp:lastPrinted>2007-05-15T09:04:05Z</cp:lastPrinted>
  <dcterms:created xsi:type="dcterms:W3CDTF">2002-01-28T08:02:52Z</dcterms:created>
  <dcterms:modified xsi:type="dcterms:W3CDTF">2007-10-02T12:51:29Z</dcterms:modified>
  <cp:category/>
  <cp:version/>
  <cp:contentType/>
  <cp:contentStatus/>
</cp:coreProperties>
</file>